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7_0.bin" ContentType="application/vnd.openxmlformats-officedocument.oleObject"/>
  <Override PartName="/xl/embeddings/oleObject_1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60" windowWidth="15480" windowHeight="11640" tabRatio="794" activeTab="0"/>
  </bookViews>
  <sheets>
    <sheet name="Contents" sheetId="1" r:id="rId1"/>
    <sheet name="Torque" sheetId="2" r:id="rId2"/>
    <sheet name="Speed" sheetId="3" r:id="rId3"/>
    <sheet name="Position" sheetId="4" r:id="rId4"/>
    <sheet name="Acc~Dec" sheetId="5" r:id="rId5"/>
    <sheet name="Tuning" sheetId="6" r:id="rId6"/>
    <sheet name="Inertia" sheetId="7" r:id="rId7"/>
    <sheet name="Inertia Theory" sheetId="8" r:id="rId8"/>
    <sheet name="Inertia Techniques" sheetId="9" r:id="rId9"/>
    <sheet name="Inertia Example" sheetId="10" r:id="rId10"/>
    <sheet name="Tuning Chart" sheetId="11" r:id="rId11"/>
    <sheet name="Tuning Instrns" sheetId="12" r:id="rId12"/>
    <sheet name="Motors" sheetId="13" r:id="rId13"/>
  </sheets>
  <definedNames>
    <definedName name="OLE_LINK1" localSheetId="7">'Inertia Theory'!$K$11</definedName>
    <definedName name="_xlnm.Print_Area" localSheetId="4">'Acc~Dec'!$A$1:$E$24</definedName>
    <definedName name="_xlnm.Print_Area" localSheetId="9">'Inertia Example'!$A$1:$I$45</definedName>
    <definedName name="_xlnm.Print_Area" localSheetId="2">'Speed'!$A$1:$E$30</definedName>
    <definedName name="_xlnm.Print_Area" localSheetId="10">'Tuning Chart'!$A$1:$Q$36</definedName>
    <definedName name="_xlnm.Print_Area" localSheetId="11">'Tuning Instrns'!$A$1:$L$56</definedName>
    <definedName name="xlhowusetheanalysistoolpak" localSheetId="0">'Contents'!$H$2</definedName>
  </definedNames>
  <calcPr fullCalcOnLoad="1"/>
</workbook>
</file>

<file path=xl/comments2.xml><?xml version="1.0" encoding="utf-8"?>
<comments xmlns="http://schemas.openxmlformats.org/spreadsheetml/2006/main">
  <authors>
    <author>mattp</author>
  </authors>
  <commentList>
    <comment ref="B10" authorId="0">
      <text>
        <r>
          <rPr>
            <b/>
            <sz val="8"/>
            <rFont val="Tahoma"/>
            <family val="0"/>
          </rPr>
          <t xml:space="preserve">Enter the reference voltage that should command "Commanded Torque".  </t>
        </r>
        <r>
          <rPr>
            <sz val="8"/>
            <rFont val="Tahoma"/>
            <family val="2"/>
          </rPr>
          <t>This value is often the maximum command output from the controller.</t>
        </r>
      </text>
    </comment>
    <comment ref="B11" authorId="0">
      <text>
        <r>
          <rPr>
            <b/>
            <sz val="8"/>
            <rFont val="Tahoma"/>
            <family val="0"/>
          </rPr>
          <t xml:space="preserve">Enter the % motor torque that should be commanded by the above reference voltage.  </t>
        </r>
        <r>
          <rPr>
            <sz val="8"/>
            <rFont val="Tahoma"/>
            <family val="2"/>
          </rPr>
          <t>This is often 300%, or the maximum amount of torque the application requires.</t>
        </r>
      </text>
    </comment>
    <comment ref="B12" authorId="0">
      <text>
        <r>
          <rPr>
            <b/>
            <sz val="8"/>
            <rFont val="Tahoma"/>
            <family val="0"/>
          </rPr>
          <t>Enter this value into Pn400</t>
        </r>
        <r>
          <rPr>
            <sz val="8"/>
            <rFont val="Tahoma"/>
            <family val="2"/>
          </rPr>
          <t xml:space="preserve"> using the built-in (or external) keypad or SigmaWin.</t>
        </r>
      </text>
    </comment>
    <comment ref="C10" authorId="0">
      <text>
        <r>
          <rPr>
            <b/>
            <sz val="8"/>
            <rFont val="Tahoma"/>
            <family val="0"/>
          </rPr>
          <t>Enter reference voltage that is currently being commanded.</t>
        </r>
      </text>
    </comment>
    <comment ref="C12" authorId="0">
      <text>
        <r>
          <rPr>
            <b/>
            <sz val="8"/>
            <rFont val="Tahoma"/>
            <family val="0"/>
          </rPr>
          <t>Enter the current value of Pn400</t>
        </r>
      </text>
    </comment>
    <comment ref="C11" authorId="0">
      <text>
        <r>
          <rPr>
            <b/>
            <sz val="8"/>
            <rFont val="Tahoma"/>
            <family val="0"/>
          </rPr>
          <t>This is the amount of torque that the reference voltage will command given the current setting of Pn400.</t>
        </r>
      </text>
    </comment>
    <comment ref="D11" authorId="0">
      <text>
        <r>
          <rPr>
            <b/>
            <sz val="8"/>
            <rFont val="Tahoma"/>
            <family val="0"/>
          </rPr>
          <t>Enter the % motor torque that is currently being commanded.</t>
        </r>
      </text>
    </comment>
    <comment ref="D12" authorId="0">
      <text>
        <r>
          <rPr>
            <b/>
            <sz val="8"/>
            <rFont val="Tahoma"/>
            <family val="0"/>
          </rPr>
          <t>Enter the current value of Pn400.</t>
        </r>
      </text>
    </comment>
    <comment ref="D10" authorId="0">
      <text>
        <r>
          <rPr>
            <b/>
            <sz val="8"/>
            <rFont val="Tahoma"/>
            <family val="0"/>
          </rPr>
          <t>This is the reference voltage that commands the torque listed, given the current setting of Pn400.</t>
        </r>
      </text>
    </comment>
  </commentList>
</comments>
</file>

<file path=xl/comments3.xml><?xml version="1.0" encoding="utf-8"?>
<comments xmlns="http://schemas.openxmlformats.org/spreadsheetml/2006/main">
  <authors>
    <author>mattp</author>
  </authors>
  <commentList>
    <comment ref="B10" authorId="0">
      <text>
        <r>
          <rPr>
            <b/>
            <sz val="8"/>
            <rFont val="Tahoma"/>
            <family val="2"/>
          </rPr>
          <t>Enter the reference voltage that should command the desired speed below.</t>
        </r>
        <r>
          <rPr>
            <sz val="8"/>
            <rFont val="Tahoma"/>
            <family val="2"/>
          </rPr>
          <t xml:space="preserve">
This is often the maximum command voltage output of the controller.</t>
        </r>
      </text>
    </comment>
    <comment ref="B11" authorId="0">
      <text>
        <r>
          <rPr>
            <b/>
            <sz val="8"/>
            <rFont val="Tahoma"/>
            <family val="0"/>
          </rPr>
          <t xml:space="preserve">Enter the speed that should be commanded when the  reference voltage above is commanded.
</t>
        </r>
        <r>
          <rPr>
            <sz val="8"/>
            <rFont val="Tahoma"/>
            <family val="2"/>
          </rPr>
          <t>This is often the maximum speed of the motor or the maximum RPM that the motor will use for the application.</t>
        </r>
      </text>
    </comment>
    <comment ref="B12" authorId="0">
      <text>
        <r>
          <rPr>
            <b/>
            <sz val="8"/>
            <rFont val="Tahoma"/>
            <family val="0"/>
          </rPr>
          <t xml:space="preserve">Enter this value into Pn300 </t>
        </r>
        <r>
          <rPr>
            <sz val="8"/>
            <rFont val="Tahoma"/>
            <family val="2"/>
          </rPr>
          <t>using the built-in (or external) keypad or SigmaWin.</t>
        </r>
      </text>
    </comment>
    <comment ref="B13" authorId="0">
      <text>
        <r>
          <rPr>
            <sz val="8"/>
            <rFont val="Tahoma"/>
            <family val="2"/>
          </rPr>
          <t>Select the appropriate motor to find the motor rated speed.</t>
        </r>
      </text>
    </comment>
    <comment ref="C10" authorId="0">
      <text>
        <r>
          <rPr>
            <b/>
            <sz val="8"/>
            <rFont val="Tahoma"/>
            <family val="2"/>
          </rPr>
          <t>Enter the reference voltage that is being commanded.</t>
        </r>
        <r>
          <rPr>
            <sz val="8"/>
            <rFont val="Tahoma"/>
            <family val="2"/>
          </rPr>
          <t xml:space="preserve">
This is often the maximum command voltage output of the controller.</t>
        </r>
      </text>
    </comment>
    <comment ref="C12" authorId="0">
      <text>
        <r>
          <rPr>
            <b/>
            <sz val="8"/>
            <rFont val="Tahoma"/>
            <family val="0"/>
          </rPr>
          <t>Enter the current value of Pn300.</t>
        </r>
      </text>
    </comment>
    <comment ref="C11" authorId="0">
      <text>
        <r>
          <rPr>
            <b/>
            <sz val="8"/>
            <rFont val="Tahoma"/>
            <family val="2"/>
          </rPr>
          <t>This is the speed that the reference voltage will command for the current setting of Pn300.</t>
        </r>
        <r>
          <rPr>
            <sz val="8"/>
            <rFont val="Tahoma"/>
            <family val="2"/>
          </rPr>
          <t xml:space="preserve">
This speed can be monitored live as the parameter or voltage is changed.</t>
        </r>
      </text>
    </comment>
    <comment ref="C13" authorId="0">
      <text>
        <r>
          <rPr>
            <sz val="8"/>
            <rFont val="Tahoma"/>
            <family val="2"/>
          </rPr>
          <t>Select the appropriate motor to find the motor rated speed.</t>
        </r>
      </text>
    </comment>
    <comment ref="D13" authorId="0">
      <text>
        <r>
          <rPr>
            <sz val="8"/>
            <rFont val="Tahoma"/>
            <family val="2"/>
          </rPr>
          <t>Select the appropriate motor to find the motor rated speed.</t>
        </r>
      </text>
    </comment>
    <comment ref="D11" authorId="0">
      <text>
        <r>
          <rPr>
            <b/>
            <sz val="8"/>
            <rFont val="Tahoma"/>
            <family val="0"/>
          </rPr>
          <t>Enter the speed that the reference voltage should command.</t>
        </r>
      </text>
    </comment>
    <comment ref="D12" authorId="0">
      <text>
        <r>
          <rPr>
            <b/>
            <sz val="8"/>
            <rFont val="Tahoma"/>
            <family val="0"/>
          </rPr>
          <t>Enter the current value of Pn300.</t>
        </r>
      </text>
    </comment>
    <comment ref="D10" authorId="0">
      <text>
        <r>
          <rPr>
            <b/>
            <sz val="8"/>
            <rFont val="Tahoma"/>
            <family val="0"/>
          </rPr>
          <t>This is the reference voltage that will command the desired speed given the current setting of Pn300.</t>
        </r>
      </text>
    </comment>
  </commentList>
</comments>
</file>

<file path=xl/comments4.xml><?xml version="1.0" encoding="utf-8"?>
<comments xmlns="http://schemas.openxmlformats.org/spreadsheetml/2006/main">
  <authors>
    <author>mattp</author>
    <author>Matt Pelletier</author>
    <author>Matt </author>
  </authors>
  <commentList>
    <comment ref="B10" authorId="0">
      <text>
        <r>
          <rPr>
            <b/>
            <sz val="8"/>
            <rFont val="Tahoma"/>
            <family val="2"/>
          </rPr>
          <t>Enter the natural units of the machine.</t>
        </r>
        <r>
          <rPr>
            <sz val="8"/>
            <rFont val="Tahoma"/>
            <family val="2"/>
          </rPr>
          <t xml:space="preserve">
Often they are Inch, feet, mm, cm, Degrees, Radians, etc.
It is advantageous to use a unit that gives an integer value in the cell below.</t>
        </r>
      </text>
    </comment>
    <comment ref="B11" authorId="0">
      <text>
        <r>
          <rPr>
            <b/>
            <sz val="8"/>
            <color indexed="12"/>
            <rFont val="Tahoma"/>
            <family val="2"/>
          </rPr>
          <t>Units moved per machine shaft revolution</t>
        </r>
        <r>
          <rPr>
            <sz val="8"/>
            <rFont val="Tahoma"/>
            <family val="2"/>
          </rPr>
          <t xml:space="preserve">
Enter how far the machine moves per load shaft revolution (Ballscrew Lead)</t>
        </r>
      </text>
    </comment>
    <comment ref="B15" authorId="0">
      <text>
        <r>
          <rPr>
            <b/>
            <sz val="8"/>
            <color indexed="48"/>
            <rFont val="Tahoma"/>
            <family val="2"/>
          </rPr>
          <t>Encoder Resolution</t>
        </r>
        <r>
          <rPr>
            <sz val="8"/>
            <rFont val="Tahoma"/>
            <family val="2"/>
          </rPr>
          <t xml:space="preserve">
Select motor from the drop-down list.
Encoder resolution is either 8192, 65536, 131072, or 1048576, depending on the motor being used.</t>
        </r>
      </text>
    </comment>
    <comment ref="B16" authorId="0">
      <text>
        <r>
          <rPr>
            <b/>
            <sz val="8"/>
            <color indexed="12"/>
            <rFont val="Tahoma"/>
            <family val="2"/>
          </rPr>
          <t>Pn202</t>
        </r>
        <r>
          <rPr>
            <sz val="8"/>
            <rFont val="Tahoma"/>
            <family val="2"/>
          </rPr>
          <t xml:space="preserve">
Enter this value into the SGDH amplifier using the built-in keypad (or external) or SigmaWin software.</t>
        </r>
      </text>
    </comment>
    <comment ref="B17" authorId="0">
      <text>
        <r>
          <rPr>
            <b/>
            <sz val="8"/>
            <color indexed="12"/>
            <rFont val="Tahoma"/>
            <family val="2"/>
          </rPr>
          <t>Pn203</t>
        </r>
        <r>
          <rPr>
            <sz val="8"/>
            <rFont val="Tahoma"/>
            <family val="2"/>
          </rPr>
          <t xml:space="preserve">
Enter this value into the SGDH amplifier using the built-in keypad (or external) or SigmaWin software.</t>
        </r>
      </text>
    </comment>
    <comment ref="B19" authorId="0">
      <text>
        <r>
          <rPr>
            <b/>
            <sz val="8"/>
            <color indexed="12"/>
            <rFont val="Tahoma"/>
            <family val="2"/>
          </rPr>
          <t>Encoder Counts per R.U.</t>
        </r>
        <r>
          <rPr>
            <b/>
            <sz val="8"/>
            <rFont val="Tahoma"/>
            <family val="2"/>
          </rPr>
          <t xml:space="preserve">
This value represents how many encoder counts the motor will move when the amplifier receives ONE command pulse </t>
        </r>
        <r>
          <rPr>
            <sz val="8"/>
            <rFont val="Tahoma"/>
            <family val="2"/>
          </rPr>
          <t xml:space="preserve">(an R.U.).  For any fraction of an encoder count represented here, the motor will move to the nearest encoder count.  The "remainder" will be tracked and is added to the position when the next command pulse is received.
</t>
        </r>
        <r>
          <rPr>
            <b/>
            <sz val="8"/>
            <rFont val="Tahoma"/>
            <family val="2"/>
          </rPr>
          <t>If this value is too high (&gt;100)</t>
        </r>
        <r>
          <rPr>
            <sz val="8"/>
            <rFont val="Tahoma"/>
            <family val="2"/>
          </rPr>
          <t xml:space="preserve">, the motor may move roughly.  In this case, consider using a smaller R.U. (finer resolution).
</t>
        </r>
        <r>
          <rPr>
            <b/>
            <sz val="8"/>
            <rFont val="Tahoma"/>
            <family val="2"/>
          </rPr>
          <t>If this value is too low (&lt;1)</t>
        </r>
        <r>
          <rPr>
            <sz val="8"/>
            <rFont val="Tahoma"/>
            <family val="2"/>
          </rPr>
          <t>, the resolution expected cannot actually be met due to the resolution of the encoder.  In this case, consider using a larger R.U. (coarser resolution)</t>
        </r>
      </text>
    </comment>
    <comment ref="C16" authorId="0">
      <text>
        <r>
          <rPr>
            <b/>
            <sz val="8"/>
            <color indexed="12"/>
            <rFont val="Tahoma"/>
            <family val="2"/>
          </rPr>
          <t>Pn202</t>
        </r>
        <r>
          <rPr>
            <sz val="8"/>
            <rFont val="Tahoma"/>
            <family val="2"/>
          </rPr>
          <t xml:space="preserve">
Find the value for this parameter using the built-in (or external) digital operator, or SigmaWin software.</t>
        </r>
      </text>
    </comment>
    <comment ref="C17" authorId="0">
      <text>
        <r>
          <rPr>
            <b/>
            <sz val="8"/>
            <color indexed="12"/>
            <rFont val="Tahoma"/>
            <family val="2"/>
          </rPr>
          <t>Pn203</t>
        </r>
        <r>
          <rPr>
            <sz val="8"/>
            <rFont val="Tahoma"/>
            <family val="2"/>
          </rPr>
          <t xml:space="preserve">
Find the value for this parameter using the built-in (or external) digital operator, or SigmaWin software.</t>
        </r>
      </text>
    </comment>
    <comment ref="C15" authorId="0">
      <text>
        <r>
          <rPr>
            <b/>
            <sz val="8"/>
            <color indexed="12"/>
            <rFont val="Tahoma"/>
            <family val="2"/>
          </rPr>
          <t xml:space="preserve">Encoder Resolution
</t>
        </r>
        <r>
          <rPr>
            <sz val="8"/>
            <rFont val="Tahoma"/>
            <family val="2"/>
          </rPr>
          <t>Select motor from the drop-down list.
Encoder resolution is either 8192, 65536, 131072, or 1048576, depending on the motor being used.</t>
        </r>
      </text>
    </comment>
    <comment ref="C11" authorId="0">
      <text>
        <r>
          <rPr>
            <b/>
            <sz val="8"/>
            <color indexed="12"/>
            <rFont val="Tahoma"/>
            <family val="2"/>
          </rPr>
          <t>Units moved per machine shaft revolution</t>
        </r>
        <r>
          <rPr>
            <sz val="8"/>
            <rFont val="Tahoma"/>
            <family val="2"/>
          </rPr>
          <t xml:space="preserve">
Enter how far the machine moves per load shaft revolution (Ballscrew Lead)</t>
        </r>
      </text>
    </comment>
    <comment ref="B12" authorId="1">
      <text>
        <r>
          <rPr>
            <b/>
            <sz val="8"/>
            <color indexed="48"/>
            <rFont val="Tahoma"/>
            <family val="2"/>
          </rPr>
          <t>Transmission Input Revs</t>
        </r>
        <r>
          <rPr>
            <sz val="8"/>
            <rFont val="Tahoma"/>
            <family val="2"/>
          </rPr>
          <t xml:space="preserve">
Enter the transmission input revolutions that produce the output revolutions specified in the cell below.</t>
        </r>
      </text>
    </comment>
    <comment ref="B14" authorId="1">
      <text>
        <r>
          <rPr>
            <b/>
            <sz val="8"/>
            <rFont val="Tahoma"/>
            <family val="2"/>
          </rPr>
          <t xml:space="preserve">Command Pulses Per Unit
</t>
        </r>
        <r>
          <rPr>
            <sz val="8"/>
            <rFont val="Tahoma"/>
            <family val="2"/>
          </rPr>
          <t xml:space="preserve">Enter the number of pulses from the controller that will cause the machine to move </t>
        </r>
        <r>
          <rPr>
            <b/>
            <sz val="8"/>
            <rFont val="Tahoma"/>
            <family val="2"/>
          </rPr>
          <t>ONE UNIT</t>
        </r>
        <r>
          <rPr>
            <sz val="8"/>
            <rFont val="Tahoma"/>
            <family val="2"/>
          </rPr>
          <t/>
        </r>
      </text>
    </comment>
    <comment ref="B18" authorId="1">
      <text>
        <r>
          <rPr>
            <b/>
            <sz val="8"/>
            <color indexed="12"/>
            <rFont val="Tahoma"/>
            <family val="2"/>
          </rPr>
          <t>Reference Unit</t>
        </r>
        <r>
          <rPr>
            <sz val="8"/>
            <rFont val="Tahoma"/>
            <family val="2"/>
          </rPr>
          <t xml:space="preserve">
The Reference Unit is the distance in natural units that the machine will move when it receives </t>
        </r>
        <r>
          <rPr>
            <b/>
            <sz val="8"/>
            <rFont val="Tahoma"/>
            <family val="2"/>
          </rPr>
          <t>ONE</t>
        </r>
        <r>
          <rPr>
            <sz val="8"/>
            <rFont val="Tahoma"/>
            <family val="2"/>
          </rPr>
          <t xml:space="preserve"> </t>
        </r>
        <r>
          <rPr>
            <b/>
            <sz val="8"/>
            <rFont val="Tahoma"/>
            <family val="2"/>
          </rPr>
          <t>command pulse.</t>
        </r>
        <r>
          <rPr>
            <sz val="8"/>
            <rFont val="Tahoma"/>
            <family val="2"/>
          </rPr>
          <t xml:space="preserve">
This is the smallest theoretical distance possible with the given parameter settings, and so is often referred to as the </t>
        </r>
        <r>
          <rPr>
            <b/>
            <sz val="8"/>
            <rFont val="Tahoma"/>
            <family val="2"/>
          </rPr>
          <t>resolution</t>
        </r>
        <r>
          <rPr>
            <sz val="8"/>
            <rFont val="Tahoma"/>
            <family val="2"/>
          </rPr>
          <t>.</t>
        </r>
      </text>
    </comment>
    <comment ref="C12" authorId="1">
      <text>
        <r>
          <rPr>
            <b/>
            <sz val="8"/>
            <color indexed="12"/>
            <rFont val="Tahoma"/>
            <family val="2"/>
          </rPr>
          <t>Transmission Input Revs</t>
        </r>
        <r>
          <rPr>
            <sz val="8"/>
            <rFont val="Tahoma"/>
            <family val="2"/>
          </rPr>
          <t xml:space="preserve">
Enter the transmission input revolutions that produce the number of output revolutions specified in the cell below.</t>
        </r>
      </text>
    </comment>
    <comment ref="C14" authorId="1">
      <text>
        <r>
          <rPr>
            <b/>
            <sz val="8"/>
            <color indexed="12"/>
            <rFont val="Tahoma"/>
            <family val="2"/>
          </rPr>
          <t>Command Pulses Per Unit</t>
        </r>
        <r>
          <rPr>
            <sz val="8"/>
            <rFont val="Tahoma"/>
            <family val="2"/>
          </rPr>
          <t xml:space="preserve">
This value is the number of pulses from the controller that will cause the machine to move </t>
        </r>
        <r>
          <rPr>
            <b/>
            <sz val="8"/>
            <rFont val="Tahoma"/>
            <family val="2"/>
          </rPr>
          <t>ONE UNIT</t>
        </r>
      </text>
    </comment>
    <comment ref="B13" authorId="2">
      <text>
        <r>
          <rPr>
            <b/>
            <sz val="8"/>
            <color indexed="48"/>
            <rFont val="Tahoma"/>
            <family val="2"/>
          </rPr>
          <t>Transmission Output Revs</t>
        </r>
        <r>
          <rPr>
            <b/>
            <sz val="8"/>
            <rFont val="Tahoma"/>
            <family val="0"/>
          </rPr>
          <t xml:space="preserve">
</t>
        </r>
        <r>
          <rPr>
            <sz val="8"/>
            <rFont val="Tahoma"/>
            <family val="2"/>
          </rPr>
          <t>Enter the transmission output revolutions produced by the input revolutions specified in the cell above.</t>
        </r>
      </text>
    </comment>
    <comment ref="C13" authorId="2">
      <text>
        <r>
          <rPr>
            <b/>
            <sz val="8"/>
            <color indexed="12"/>
            <rFont val="Tahoma"/>
            <family val="2"/>
          </rPr>
          <t>Transmission Output Revs:</t>
        </r>
        <r>
          <rPr>
            <b/>
            <sz val="8"/>
            <rFont val="Tahoma"/>
            <family val="0"/>
          </rPr>
          <t xml:space="preserve">
</t>
        </r>
        <r>
          <rPr>
            <sz val="8"/>
            <rFont val="Tahoma"/>
            <family val="2"/>
          </rPr>
          <t>Enter the transmission output revolutions produced by the number of input revolutions specified in the cell above.</t>
        </r>
      </text>
    </comment>
    <comment ref="C18" authorId="2">
      <text>
        <r>
          <rPr>
            <b/>
            <sz val="8"/>
            <color indexed="12"/>
            <rFont val="Tahoma"/>
            <family val="2"/>
          </rPr>
          <t>Reference Unit</t>
        </r>
        <r>
          <rPr>
            <b/>
            <sz val="8"/>
            <rFont val="Tahoma"/>
            <family val="2"/>
          </rPr>
          <t xml:space="preserve">
</t>
        </r>
        <r>
          <rPr>
            <sz val="8"/>
            <rFont val="Tahoma"/>
            <family val="2"/>
          </rPr>
          <t xml:space="preserve">The Reference unit is the distance in natural units that the machine will move when it receives </t>
        </r>
        <r>
          <rPr>
            <b/>
            <sz val="8"/>
            <rFont val="Tahoma"/>
            <family val="2"/>
          </rPr>
          <t>ONE command pulse.</t>
        </r>
        <r>
          <rPr>
            <sz val="8"/>
            <rFont val="Tahoma"/>
            <family val="2"/>
          </rPr>
          <t xml:space="preserve">
This is the smallest theoretical distance possible with the given parameter settings, and so is often referred to as the resolution.</t>
        </r>
      </text>
    </comment>
    <comment ref="C19" authorId="2">
      <text>
        <r>
          <rPr>
            <b/>
            <sz val="8"/>
            <color indexed="12"/>
            <rFont val="Tahoma"/>
            <family val="2"/>
          </rPr>
          <t>Encoder Counts Per R.U.</t>
        </r>
        <r>
          <rPr>
            <b/>
            <sz val="8"/>
            <rFont val="Tahoma"/>
            <family val="2"/>
          </rPr>
          <t xml:space="preserve">
This value represents how many encoder counts the motor will move when the amplifier receives ONE command pulse (an R.U.).</t>
        </r>
        <r>
          <rPr>
            <sz val="8"/>
            <rFont val="Tahoma"/>
            <family val="2"/>
          </rPr>
          <t xml:space="preserve">  For any fraction of an encoder count represented here, the motor will move to the nearest encoder count.  The "remainder" will be tracked and is added to the position when the next command pulse is received.
</t>
        </r>
        <r>
          <rPr>
            <b/>
            <sz val="8"/>
            <rFont val="Tahoma"/>
            <family val="2"/>
          </rPr>
          <t>If this value is too high (&gt;100),</t>
        </r>
        <r>
          <rPr>
            <sz val="8"/>
            <rFont val="Tahoma"/>
            <family val="2"/>
          </rPr>
          <t xml:space="preserve"> the motor may move roughly.  In this case, consider using a smaller R.U. (finer resolution).
</t>
        </r>
        <r>
          <rPr>
            <b/>
            <sz val="8"/>
            <rFont val="Tahoma"/>
            <family val="2"/>
          </rPr>
          <t>If this value is too low (&lt;1)</t>
        </r>
        <r>
          <rPr>
            <sz val="8"/>
            <rFont val="Tahoma"/>
            <family val="2"/>
          </rPr>
          <t>, the resolution expected cannot actually be met due to the resolution of the encoder.  In this case, consider using a larger R.U. (coarser resolution)</t>
        </r>
      </text>
    </comment>
  </commentList>
</comments>
</file>

<file path=xl/comments5.xml><?xml version="1.0" encoding="utf-8"?>
<comments xmlns="http://schemas.openxmlformats.org/spreadsheetml/2006/main">
  <authors>
    <author>mattp</author>
  </authors>
  <commentList>
    <comment ref="B10" authorId="0">
      <text>
        <r>
          <rPr>
            <sz val="8"/>
            <rFont val="Tahoma"/>
            <family val="2"/>
          </rPr>
          <t>Enter the difference between the 2 speeds you are interested in running at.</t>
        </r>
      </text>
    </comment>
    <comment ref="B11" authorId="0">
      <text>
        <r>
          <rPr>
            <sz val="8"/>
            <rFont val="Tahoma"/>
            <family val="2"/>
          </rPr>
          <t>Enter the time in milliseconds that it should take to accelerate or decelerate between the 2 speeds of interest.</t>
        </r>
      </text>
    </comment>
    <comment ref="B12" authorId="0">
      <text>
        <r>
          <rPr>
            <b/>
            <sz val="8"/>
            <rFont val="Tahoma"/>
            <family val="2"/>
          </rPr>
          <t>Enter this value into the SGDH amplifier for the corresponding parameter using SigmaWin software or the built-in (or external) digital operator.</t>
        </r>
      </text>
    </comment>
    <comment ref="B13" authorId="0">
      <text>
        <r>
          <rPr>
            <sz val="8"/>
            <rFont val="Tahoma"/>
            <family val="2"/>
          </rPr>
          <t>Select the appropriate motor to find the motor max speed</t>
        </r>
      </text>
    </comment>
    <comment ref="C10" authorId="0">
      <text>
        <r>
          <rPr>
            <sz val="8"/>
            <rFont val="Tahoma"/>
            <family val="2"/>
          </rPr>
          <t>Enter the difference between the 2 speeds you are interested in running at.</t>
        </r>
      </text>
    </comment>
    <comment ref="C11" authorId="0">
      <text>
        <r>
          <rPr>
            <b/>
            <sz val="8"/>
            <rFont val="Tahoma"/>
            <family val="2"/>
          </rPr>
          <t>This is how long it will take to accelerate between the 2 speeds with the given parameter setting.</t>
        </r>
      </text>
    </comment>
    <comment ref="C12" authorId="0">
      <text>
        <r>
          <rPr>
            <sz val="8"/>
            <rFont val="Tahoma"/>
            <family val="2"/>
          </rPr>
          <t>Find the present value of Pn305 or Pn306 using the built-in (or external) keypad or SigmaWin.</t>
        </r>
      </text>
    </comment>
    <comment ref="C13" authorId="0">
      <text>
        <r>
          <rPr>
            <sz val="8"/>
            <rFont val="Tahoma"/>
            <family val="2"/>
          </rPr>
          <t>Select the appropriate motor to find the motor max speed</t>
        </r>
      </text>
    </comment>
    <comment ref="D13" authorId="0">
      <text>
        <r>
          <rPr>
            <sz val="8"/>
            <rFont val="Tahoma"/>
            <family val="2"/>
          </rPr>
          <t>Select the appropriate motor to find the motor max speed</t>
        </r>
      </text>
    </comment>
    <comment ref="D12" authorId="0">
      <text>
        <r>
          <rPr>
            <sz val="8"/>
            <rFont val="Tahoma"/>
            <family val="2"/>
          </rPr>
          <t>Find the present value of Pn305 or Pn306 using the built-in (or external) keypad or SigmaWin.</t>
        </r>
      </text>
    </comment>
    <comment ref="D11" authorId="0">
      <text>
        <r>
          <rPr>
            <sz val="8"/>
            <rFont val="Tahoma"/>
            <family val="2"/>
          </rPr>
          <t>Enter the time in milliseconds that it should take to accelerate or decelerate between the 2 speeds of interest.</t>
        </r>
      </text>
    </comment>
    <comment ref="D10" authorId="0">
      <text>
        <r>
          <rPr>
            <b/>
            <sz val="8"/>
            <rFont val="Tahoma"/>
            <family val="0"/>
          </rPr>
          <t>This is the maximum change in speed that will take place in the time specified with the given parameter setting.</t>
        </r>
      </text>
    </comment>
  </commentList>
</comments>
</file>

<file path=xl/comments6.xml><?xml version="1.0" encoding="utf-8"?>
<comments xmlns="http://schemas.openxmlformats.org/spreadsheetml/2006/main">
  <authors>
    <author>Matt </author>
  </authors>
  <commentList>
    <comment ref="B5" authorId="0">
      <text>
        <r>
          <rPr>
            <b/>
            <sz val="8"/>
            <rFont val="Tahoma"/>
            <family val="0"/>
          </rPr>
          <t>Rigidity Level</t>
        </r>
      </text>
    </comment>
    <comment ref="A4" authorId="0">
      <text>
        <r>
          <rPr>
            <b/>
            <sz val="8"/>
            <rFont val="Tahoma"/>
            <family val="0"/>
          </rPr>
          <t xml:space="preserve">Target Bandwidth Separation Factor (BSF)
</t>
        </r>
        <r>
          <rPr>
            <sz val="8"/>
            <rFont val="Tahoma"/>
            <family val="2"/>
          </rPr>
          <t>Target for how much higher bandwidth the speed loop needs compared to the position loop, and torque loop compared to speed loop.
Set this higher if more stable gains are required.  This value is used for the calculated parameters.</t>
        </r>
      </text>
    </comment>
    <comment ref="A5" authorId="0">
      <text>
        <r>
          <rPr>
            <b/>
            <sz val="8"/>
            <rFont val="Tahoma"/>
            <family val="0"/>
          </rPr>
          <t xml:space="preserve">Rigidity Level
</t>
        </r>
        <r>
          <rPr>
            <sz val="8"/>
            <rFont val="Tahoma"/>
            <family val="2"/>
          </rPr>
          <t xml:space="preserve">Choose the rigidity level set in the amplifier.  Default is 4.  
Rigidity Level sets the tuning parameters according to a preset table of values.
</t>
        </r>
      </text>
    </comment>
    <comment ref="A6" authorId="0">
      <text>
        <r>
          <rPr>
            <b/>
            <sz val="8"/>
            <rFont val="Tahoma"/>
            <family val="0"/>
          </rPr>
          <t xml:space="preserve">Amplifier Revision
</t>
        </r>
        <r>
          <rPr>
            <sz val="8"/>
            <rFont val="Tahoma"/>
            <family val="2"/>
          </rPr>
          <t>The Firmware/Hardware revision level is located on the battery cover.
Most amplifiers manufactured before 2004 are revision xxx14 or lower, 2004 and after are 33xxx and higher.  The firmware revision affects the maximum possible value of Pn103.</t>
        </r>
      </text>
    </comment>
    <comment ref="A7" authorId="0">
      <text>
        <r>
          <rPr>
            <b/>
            <sz val="8"/>
            <rFont val="Tahoma"/>
            <family val="0"/>
          </rPr>
          <t xml:space="preserve">Inertia Ratio
</t>
        </r>
        <r>
          <rPr>
            <sz val="8"/>
            <rFont val="Tahoma"/>
            <family val="2"/>
          </rPr>
          <t>Enter the true inertia ratio of the machine as JL/Jm to 1</t>
        </r>
      </text>
    </comment>
    <comment ref="A8" authorId="0">
      <text>
        <r>
          <rPr>
            <b/>
            <sz val="8"/>
            <rFont val="Tahoma"/>
            <family val="0"/>
          </rPr>
          <t xml:space="preserve">Pn103
</t>
        </r>
        <r>
          <rPr>
            <sz val="8"/>
            <rFont val="Tahoma"/>
            <family val="2"/>
          </rPr>
          <t>This is the value that should be set in the parameter Pn103.
If the true inertia ratio is too high, Pn103 should be set to the max value possible.</t>
        </r>
      </text>
    </comment>
    <comment ref="A9" authorId="0">
      <text>
        <r>
          <rPr>
            <b/>
            <sz val="8"/>
            <rFont val="Tahoma"/>
            <family val="0"/>
          </rPr>
          <t xml:space="preserve">Pn103 Compensation Factor
</t>
        </r>
        <r>
          <rPr>
            <sz val="8"/>
            <rFont val="Tahoma"/>
            <family val="2"/>
          </rPr>
          <t xml:space="preserve">This value is calculated automatically.
</t>
        </r>
        <r>
          <rPr>
            <b/>
            <sz val="8"/>
            <rFont val="Tahoma"/>
            <family val="0"/>
          </rPr>
          <t xml:space="preserve">
</t>
        </r>
        <r>
          <rPr>
            <sz val="8"/>
            <rFont val="Tahoma"/>
            <family val="2"/>
          </rPr>
          <t>If the inertia ratio is too high to be represented in Pn103, the Pn103 is set to the max value and this compensation factor is used for the calculated value of Pn100 and for the speed loop bandwidth, Kv.</t>
        </r>
      </text>
    </comment>
    <comment ref="B12" authorId="0">
      <text>
        <r>
          <rPr>
            <b/>
            <sz val="8"/>
            <rFont val="Tahoma"/>
            <family val="0"/>
          </rPr>
          <t xml:space="preserve">Pn401
</t>
        </r>
        <r>
          <rPr>
            <sz val="8"/>
            <rFont val="Tahoma"/>
            <family val="2"/>
          </rPr>
          <t xml:space="preserve">Torque Reference Filter Time Constant.
For high performance, Pn401 should be set as low as possible.  A lower setting increases the torque loop bandwidth
This is the </t>
        </r>
        <r>
          <rPr>
            <b/>
            <sz val="8"/>
            <rFont val="Tahoma"/>
            <family val="2"/>
          </rPr>
          <t>first</t>
        </r>
        <r>
          <rPr>
            <sz val="8"/>
            <rFont val="Tahoma"/>
            <family val="2"/>
          </rPr>
          <t xml:space="preserve"> tuning parameter that should be set.</t>
        </r>
      </text>
    </comment>
    <comment ref="C12" authorId="0">
      <text>
        <r>
          <rPr>
            <b/>
            <sz val="8"/>
            <rFont val="Tahoma"/>
            <family val="0"/>
          </rPr>
          <t xml:space="preserve">Pn100
</t>
        </r>
        <r>
          <rPr>
            <sz val="8"/>
            <rFont val="Tahoma"/>
            <family val="2"/>
          </rPr>
          <t>Speed Loop Proportional Gain.
For high performance, this parameter should be set as high as possible while maintaning stable operation and proper bandwidth separation.  Pn100 is directly proportional to the speed loop bandwidth.</t>
        </r>
      </text>
    </comment>
    <comment ref="D12" authorId="0">
      <text>
        <r>
          <rPr>
            <b/>
            <sz val="8"/>
            <rFont val="Tahoma"/>
            <family val="0"/>
          </rPr>
          <t xml:space="preserve">Pn101
</t>
        </r>
        <r>
          <rPr>
            <sz val="8"/>
            <rFont val="Tahoma"/>
            <family val="2"/>
          </rPr>
          <t>Speed Loop Integration Time Constant.
The calculated value will give the critically damped response, and usually works.
Decreasing Pn101 will increase the effect of the speed loop integrator, and contributes to an increased high-frequency response in the speed loop.</t>
        </r>
      </text>
    </comment>
    <comment ref="E12" authorId="0">
      <text>
        <r>
          <rPr>
            <b/>
            <sz val="8"/>
            <rFont val="Tahoma"/>
            <family val="0"/>
          </rPr>
          <t xml:space="preserve">Pn102
</t>
        </r>
        <r>
          <rPr>
            <sz val="8"/>
            <rFont val="Tahoma"/>
            <family val="2"/>
          </rPr>
          <t>Position Loop Proportional Gain.
This parameter is directly proportional to the Position Loop Bandwidth.
Pn102 is often set to the same value as Pn100.</t>
        </r>
      </text>
    </comment>
    <comment ref="A13" authorId="0">
      <text>
        <r>
          <rPr>
            <b/>
            <sz val="8"/>
            <rFont val="Tahoma"/>
            <family val="2"/>
          </rPr>
          <t xml:space="preserve">Rigidity
</t>
        </r>
        <r>
          <rPr>
            <sz val="8"/>
            <rFont val="Tahoma"/>
            <family val="2"/>
          </rPr>
          <t>These are the tuning parameter values that are set in the drive when the rigidity function is used (Fn001 on the digital operator).  Factory default is level 4.
They offer a stable configuration with a bandwidth separation of about 4 to 6.  Increased performance can be achieved by setting these parameters individually.</t>
        </r>
      </text>
    </comment>
    <comment ref="A14" authorId="0">
      <text>
        <r>
          <rPr>
            <b/>
            <sz val="8"/>
            <rFont val="Tahoma"/>
            <family val="0"/>
          </rPr>
          <t>Calculated
*</t>
        </r>
        <r>
          <rPr>
            <sz val="8"/>
            <rFont val="Tahoma"/>
            <family val="2"/>
          </rPr>
          <t>Use the calculated value as a starting point for the actual value.</t>
        </r>
        <r>
          <rPr>
            <b/>
            <sz val="8"/>
            <rFont val="Tahoma"/>
            <family val="0"/>
          </rPr>
          <t xml:space="preserve">
*</t>
        </r>
        <r>
          <rPr>
            <sz val="8"/>
            <rFont val="Tahoma"/>
            <family val="2"/>
          </rPr>
          <t xml:space="preserve">The parameters of the outer loops are calculated based on the setting of the inner loops.
*Rigidity values are used for calculation until a value is entered in the Actual column.
</t>
        </r>
      </text>
    </comment>
    <comment ref="A15" authorId="0">
      <text>
        <r>
          <rPr>
            <b/>
            <sz val="8"/>
            <rFont val="Tahoma"/>
            <family val="0"/>
          </rPr>
          <t xml:space="preserve">Actual
</t>
        </r>
        <r>
          <rPr>
            <sz val="8"/>
            <rFont val="Tahoma"/>
            <family val="2"/>
          </rPr>
          <t>As the tuning process proceeds, track the actual tuning parameter values used.  Compare to the calculated value and watch the bandwidth at the same time.</t>
        </r>
      </text>
    </comment>
    <comment ref="A17" authorId="0">
      <text>
        <r>
          <rPr>
            <b/>
            <sz val="8"/>
            <rFont val="Tahoma"/>
            <family val="0"/>
          </rPr>
          <t xml:space="preserve">Bandwidth
</t>
        </r>
        <r>
          <rPr>
            <sz val="8"/>
            <rFont val="Tahoma"/>
            <family val="2"/>
          </rPr>
          <t>The bandwidth for each loop is calculated based on the parameter settings</t>
        </r>
      </text>
    </comment>
    <comment ref="A18" authorId="0">
      <text>
        <r>
          <rPr>
            <b/>
            <sz val="8"/>
            <rFont val="Tahoma"/>
            <family val="0"/>
          </rPr>
          <t xml:space="preserve">Actual BSF
</t>
        </r>
        <r>
          <rPr>
            <sz val="8"/>
            <rFont val="Tahoma"/>
            <family val="2"/>
          </rPr>
          <t>The Actual Bandwidth Separation Factor is derived from the relative bandwidths of each of the three servo control loops.
The Actual BSF should be greater than or equal to the Target BSF, or else a warning is generated below.</t>
        </r>
      </text>
    </comment>
    <comment ref="A19" authorId="0">
      <text>
        <r>
          <rPr>
            <b/>
            <sz val="8"/>
            <rFont val="Tahoma"/>
            <family val="0"/>
          </rPr>
          <t xml:space="preserve">Bandwidth Check
</t>
        </r>
        <r>
          <rPr>
            <sz val="8"/>
            <rFont val="Tahoma"/>
            <family val="2"/>
          </rPr>
          <t>Ths is a simple check to see if the Actual BSF of each servo loop is at least 80% of the Target BSF.
If not, then it is likely that the bandwidths are too close.  Any oscillation in this case is most likely due to the tuning and not mechanical resonance.</t>
        </r>
      </text>
    </comment>
  </commentList>
</comments>
</file>

<file path=xl/comments7.xml><?xml version="1.0" encoding="utf-8"?>
<comments xmlns="http://schemas.openxmlformats.org/spreadsheetml/2006/main">
  <authors>
    <author>mattp</author>
    <author>Doug Meehl</author>
  </authors>
  <commentList>
    <comment ref="G11" authorId="0">
      <text>
        <r>
          <rPr>
            <b/>
            <sz val="8"/>
            <rFont val="Tahoma"/>
            <family val="2"/>
          </rPr>
          <t xml:space="preserve">Motor Rated Torque
</t>
        </r>
        <r>
          <rPr>
            <sz val="8"/>
            <rFont val="Tahoma"/>
            <family val="2"/>
          </rPr>
          <t>This value is calculated automatically when the motor model is chosen</t>
        </r>
      </text>
    </comment>
    <comment ref="E6" authorId="0">
      <text>
        <r>
          <rPr>
            <b/>
            <sz val="8"/>
            <rFont val="Tahoma"/>
            <family val="0"/>
          </rPr>
          <t xml:space="preserve">Use the Horizontal Cursors  in the SigmaWin TRACE utility to estimate the average torque level during acceleration.
Alternately, Pn402 &amp; Pn403 can be set to limit the torque level during acceleartion.*
</t>
        </r>
        <r>
          <rPr>
            <sz val="8"/>
            <rFont val="Tahoma"/>
            <family val="2"/>
          </rPr>
          <t>*Be sure that this will not cause dangerous or destructive machine performance</t>
        </r>
      </text>
    </comment>
    <comment ref="E7" authorId="0">
      <text>
        <r>
          <rPr>
            <b/>
            <sz val="8"/>
            <rFont val="Tahoma"/>
            <family val="0"/>
          </rPr>
          <t xml:space="preserve">Use the Horizontal Cursors in the SigmaWin TRACE utility to estimate the torque due to friction.  
</t>
        </r>
        <r>
          <rPr>
            <sz val="8"/>
            <rFont val="Tahoma"/>
            <family val="2"/>
          </rPr>
          <t xml:space="preserve">For a </t>
        </r>
        <r>
          <rPr>
            <b/>
            <sz val="8"/>
            <rFont val="Tahoma"/>
            <family val="2"/>
          </rPr>
          <t>TRAPEZOIDAL</t>
        </r>
        <r>
          <rPr>
            <sz val="8"/>
            <rFont val="Tahoma"/>
            <family val="2"/>
          </rPr>
          <t xml:space="preserve"> move profile, this is the constant torque level while the motor moves at constant speed.</t>
        </r>
        <r>
          <rPr>
            <b/>
            <sz val="8"/>
            <rFont val="Tahoma"/>
            <family val="0"/>
          </rPr>
          <t xml:space="preserve">
</t>
        </r>
        <r>
          <rPr>
            <sz val="8"/>
            <rFont val="Tahoma"/>
            <family val="2"/>
          </rPr>
          <t xml:space="preserve">If the motor is following a </t>
        </r>
        <r>
          <rPr>
            <b/>
            <sz val="8"/>
            <rFont val="Tahoma"/>
            <family val="2"/>
          </rPr>
          <t>TRIANGLE</t>
        </r>
        <r>
          <rPr>
            <sz val="8"/>
            <rFont val="Tahoma"/>
            <family val="2"/>
          </rPr>
          <t xml:space="preserve"> move profile,  add the torque during acceleration to the torque during deceleration and divide by 2 for the friction torque.  
</t>
        </r>
        <r>
          <rPr>
            <b/>
            <sz val="8"/>
            <rFont val="Tahoma"/>
            <family val="2"/>
          </rPr>
          <t>NOTE:</t>
        </r>
        <r>
          <rPr>
            <sz val="8"/>
            <rFont val="Tahoma"/>
            <family val="2"/>
          </rPr>
          <t xml:space="preserve"> The torque during deceleration may be negative.
</t>
        </r>
        <r>
          <rPr>
            <b/>
            <sz val="8"/>
            <rFont val="Tahoma"/>
            <family val="2"/>
          </rPr>
          <t>See the "Techniques" tab for more accurate techniques to measure friction torque.</t>
        </r>
      </text>
    </comment>
    <comment ref="D11" authorId="0">
      <text>
        <r>
          <rPr>
            <b/>
            <sz val="8"/>
            <rFont val="Tahoma"/>
            <family val="0"/>
          </rPr>
          <t>Use the Vertical Cursors in the SigmaWin TRACE utility to estimate the acceleration time between the 2 chosen points on the speed profile.*
*</t>
        </r>
        <r>
          <rPr>
            <sz val="8"/>
            <rFont val="Tahoma"/>
            <family val="2"/>
          </rPr>
          <t>See the "Techniques" tab for more information.</t>
        </r>
      </text>
    </comment>
    <comment ref="D12" authorId="0">
      <text>
        <r>
          <rPr>
            <b/>
            <sz val="8"/>
            <rFont val="Tahoma"/>
            <family val="0"/>
          </rPr>
          <t xml:space="preserve">Use the Horizontal Cursors in the SigmaWin TRACE utility to estimate the change in speed between the 2 chosen points on the speed profile.*
</t>
        </r>
        <r>
          <rPr>
            <sz val="8"/>
            <rFont val="Tahoma"/>
            <family val="2"/>
          </rPr>
          <t>*See the "Techniques" tab for more information.</t>
        </r>
      </text>
    </comment>
    <comment ref="G14" authorId="0">
      <text>
        <r>
          <rPr>
            <b/>
            <sz val="8"/>
            <rFont val="Tahoma"/>
            <family val="0"/>
          </rPr>
          <t xml:space="preserve">Motor Rotor Inertia
</t>
        </r>
        <r>
          <rPr>
            <sz val="8"/>
            <rFont val="Tahoma"/>
            <family val="2"/>
          </rPr>
          <t>This value is calculated automatically when the Motor Model Number is chosen</t>
        </r>
      </text>
    </comment>
    <comment ref="D19" authorId="0">
      <text>
        <r>
          <rPr>
            <b/>
            <sz val="8"/>
            <rFont val="Tahoma"/>
            <family val="0"/>
          </rPr>
          <t>Setting the true mechanical inertia ratio in Pn103 ensures that the units and relationships of all tuning parameter values have significance.</t>
        </r>
      </text>
    </comment>
    <comment ref="D13" authorId="0">
      <text>
        <r>
          <rPr>
            <b/>
            <sz val="8"/>
            <rFont val="Tahoma"/>
            <family val="0"/>
          </rPr>
          <t xml:space="preserve">The angular acceleration, α,  is calculated by the change in velocity divided by change in time.  But it must be converted to the units of rad/sec2.
</t>
        </r>
        <r>
          <rPr>
            <sz val="8"/>
            <rFont val="Tahoma"/>
            <family val="2"/>
          </rPr>
          <t>2pi radians per revolution
60 seconds per minute</t>
        </r>
      </text>
    </comment>
    <comment ref="D8" authorId="0">
      <text>
        <r>
          <rPr>
            <b/>
            <sz val="8"/>
            <rFont val="Tahoma"/>
            <family val="0"/>
          </rPr>
          <t>The Torque required to accelerate the load at a constant rate is simply Peak Torque - Friction Torque</t>
        </r>
      </text>
    </comment>
    <comment ref="D17" authorId="0">
      <text>
        <r>
          <rPr>
            <b/>
            <sz val="8"/>
            <rFont val="Tahoma"/>
            <family val="0"/>
          </rPr>
          <t>Just as F=ma works for the linear world, T=J*α works for rotary.
Solving for J gives J=T/α.  
But this gives the TOTAL system inertia, including the motor.  Subtracting the Motor inertia gives the load inertia.</t>
        </r>
      </text>
    </comment>
    <comment ref="C20" authorId="0">
      <text>
        <r>
          <rPr>
            <b/>
            <sz val="8"/>
            <rFont val="Tahoma"/>
            <family val="0"/>
          </rPr>
          <t>Any alert will be displayed here.</t>
        </r>
      </text>
    </comment>
    <comment ref="G17" authorId="0">
      <text>
        <r>
          <rPr>
            <b/>
            <sz val="8"/>
            <rFont val="Tahoma"/>
            <family val="0"/>
          </rPr>
          <t>Notes</t>
        </r>
        <r>
          <rPr>
            <sz val="8"/>
            <rFont val="Tahoma"/>
            <family val="2"/>
          </rPr>
          <t xml:space="preserve">
This space can be used to take note of things such as special parameter settings, the name of the trace file used to take the data, etc.</t>
        </r>
      </text>
    </comment>
    <comment ref="B3" authorId="0">
      <text>
        <r>
          <rPr>
            <b/>
            <sz val="8"/>
            <rFont val="Tahoma"/>
            <family val="0"/>
          </rPr>
          <t>This line indicates the directory under which this spreadsheet is saved.  It is useful when referring to a printout.</t>
        </r>
      </text>
    </comment>
    <comment ref="G4" authorId="1">
      <text>
        <r>
          <rPr>
            <sz val="8"/>
            <rFont val="Tahoma"/>
            <family val="2"/>
          </rPr>
          <t xml:space="preserve">The Motor Model Number can be found on the nameplate or by using SigmaWin.*
</t>
        </r>
        <r>
          <rPr>
            <i/>
            <sz val="8"/>
            <rFont val="Tahoma"/>
            <family val="2"/>
          </rPr>
          <t>*Monitor menu, Product Information.</t>
        </r>
      </text>
    </comment>
  </commentList>
</comments>
</file>

<file path=xl/sharedStrings.xml><?xml version="1.0" encoding="utf-8"?>
<sst xmlns="http://schemas.openxmlformats.org/spreadsheetml/2006/main" count="328" uniqueCount="271">
  <si>
    <t>What would you like to calculate?</t>
  </si>
  <si>
    <t>Change in Speed (RPM)</t>
  </si>
  <si>
    <t>Desired Accel/Decel Time (ms)</t>
  </si>
  <si>
    <t>Motor Max Speed (Select below)</t>
  </si>
  <si>
    <t>Pn305 or Pn306</t>
  </si>
  <si>
    <t>Sigma II Parameter Calculator</t>
  </si>
  <si>
    <t>Position Reference</t>
  </si>
  <si>
    <t>Acceleration Time</t>
  </si>
  <si>
    <t>Torque Reference</t>
  </si>
  <si>
    <t>Speed Reference</t>
  </si>
  <si>
    <r>
      <t xml:space="preserve">Reference Voltage </t>
    </r>
    <r>
      <rPr>
        <i/>
        <sz val="10"/>
        <rFont val="Arial"/>
        <family val="2"/>
      </rPr>
      <t>[volts]</t>
    </r>
  </si>
  <si>
    <r>
      <t xml:space="preserve">Commanded Torque </t>
    </r>
    <r>
      <rPr>
        <i/>
        <sz val="10"/>
        <rFont val="Arial"/>
        <family val="2"/>
      </rPr>
      <t>[%]</t>
    </r>
  </si>
  <si>
    <r>
      <t xml:space="preserve">Commanded Speed </t>
    </r>
    <r>
      <rPr>
        <i/>
        <sz val="10"/>
        <rFont val="Arial"/>
        <family val="2"/>
      </rPr>
      <t>[RPM]</t>
    </r>
  </si>
  <si>
    <r>
      <t xml:space="preserve">Pn300 </t>
    </r>
    <r>
      <rPr>
        <i/>
        <sz val="10"/>
        <rFont val="Arial"/>
        <family val="2"/>
      </rPr>
      <t>[0.01 volts / rated RPM]</t>
    </r>
  </si>
  <si>
    <t>Motor Rated RPM (Select below)</t>
  </si>
  <si>
    <r>
      <t xml:space="preserve">Pn400 </t>
    </r>
    <r>
      <rPr>
        <i/>
        <sz val="10"/>
        <rFont val="Arial"/>
        <family val="2"/>
      </rPr>
      <t>[0.1 volts / rated torque]</t>
    </r>
  </si>
  <si>
    <t>SGMAH-xxxAxxx (13-bit Incremental)</t>
  </si>
  <si>
    <t>SGMAH-xxx1xxx (16-bit Absolute)</t>
  </si>
  <si>
    <t>SGMPH-xxxAxxx (13-bit Incremental)</t>
  </si>
  <si>
    <t>SGMPH-xxx1xxx (16-bit Absolute)</t>
  </si>
  <si>
    <t>SGMSH-xxxxxxx (17-bit Incremental or Absolute)</t>
  </si>
  <si>
    <t>SGMUH-xxxxxxx (17-bit Incremental or Absolute)</t>
  </si>
  <si>
    <t>SGMBH-xxxxxxx (17-bit Incremental or Absolute)</t>
  </si>
  <si>
    <t>Reference Unit (R.U.)</t>
  </si>
  <si>
    <t>Motor</t>
  </si>
  <si>
    <t>Max Speed</t>
  </si>
  <si>
    <t>Bit</t>
  </si>
  <si>
    <t>Resolution</t>
  </si>
  <si>
    <t>SGMGH-75 or lower (17-bit Incremental or Absolute)</t>
  </si>
  <si>
    <t>SGMGH-1A or -1E (17-bit Incremental or Absolute)</t>
  </si>
  <si>
    <t>Selected Motor</t>
  </si>
  <si>
    <t>Rated Speed</t>
  </si>
  <si>
    <t>Natural Units of Machine</t>
  </si>
  <si>
    <t>Pn202 [Post-Quad Encoder Counts]</t>
  </si>
  <si>
    <t>Pn203 [Reference Units]</t>
  </si>
  <si>
    <t>Transmission Input Revs: Motor Shaft</t>
  </si>
  <si>
    <t>Reference #</t>
  </si>
  <si>
    <t>Please Select Motor</t>
  </si>
  <si>
    <t>Transmission Output Revs: Machine Shaft</t>
  </si>
  <si>
    <t>Inertia Measurement by Graphical Analysis</t>
  </si>
  <si>
    <t>Graphical Data</t>
  </si>
  <si>
    <t>Motor Data</t>
  </si>
  <si>
    <t>Torque Profile</t>
  </si>
  <si>
    <t>Nm</t>
  </si>
  <si>
    <t>%</t>
  </si>
  <si>
    <t>Motor Model Number</t>
  </si>
  <si>
    <t>Tp (Nm)</t>
  </si>
  <si>
    <t>Tf (Nm)</t>
  </si>
  <si>
    <t>Ta (Nm)</t>
  </si>
  <si>
    <t>Velocity Profile</t>
  </si>
  <si>
    <t>Motor Rated Torque (Nm)</t>
  </si>
  <si>
    <t>Δt (ms)</t>
  </si>
  <si>
    <t>ΔV (rpm)</t>
  </si>
  <si>
    <t>α (rad/sec2)</t>
  </si>
  <si>
    <t>Motor's Rotor Inertia (Kgm2)</t>
  </si>
  <si>
    <t>Results</t>
  </si>
  <si>
    <t>Notes</t>
  </si>
  <si>
    <t>JL (Kgm2)</t>
  </si>
  <si>
    <t>JL/JM</t>
  </si>
  <si>
    <t>).</t>
  </si>
  <si>
    <t>-</t>
  </si>
  <si>
    <t>Measurement Techniques</t>
  </si>
  <si>
    <t>Peak Torque</t>
  </si>
  <si>
    <t>Try to get a FLAT torque profile during acceleration.</t>
  </si>
  <si>
    <t>Graph the torque.</t>
  </si>
  <si>
    <t>Set a limit - as high as possible while still getting a good flat area.</t>
  </si>
  <si>
    <t>The torque limit IS the peak torque</t>
  </si>
  <si>
    <t>Don't forget to remove the torque limit after the inertia ratio is found!</t>
  </si>
  <si>
    <t>Friction Torque</t>
  </si>
  <si>
    <t>Try to estimate what the AVERAGE torque due to friction is during the whole acceleration.</t>
  </si>
  <si>
    <t>(Friction torque is usually lower at low speeds and higher at high speeds)</t>
  </si>
  <si>
    <t>Method 1</t>
  </si>
  <si>
    <t>1. Open the Motion Monitor and check "cumulative load"</t>
  </si>
  <si>
    <t>2. Jog the motor at 1/2 application speed until the cumulative load reading is steady.</t>
  </si>
  <si>
    <t>Method 2</t>
  </si>
  <si>
    <t>1. Slowly decrease one or both of the torque limits (Pn402 &amp; Pn403) until the motor will not move.  This is the friction torque at 0 RPM.</t>
  </si>
  <si>
    <t>2. Increase the torque limit(s) to the lowest value that still allows the top speed of the move to be reached.  This is the torque at application RPM.</t>
  </si>
  <si>
    <t>3. A good estimate of friction torque is the average of the two values found.</t>
  </si>
  <si>
    <t>Acceleration Time and Change in Speed</t>
  </si>
  <si>
    <t>Place the vertical cursors within the time that the torque is constant.</t>
  </si>
  <si>
    <t>This makes it easier to measure the change in speed.</t>
  </si>
  <si>
    <t>Inertia by Graphical Analysis</t>
  </si>
  <si>
    <t>Example: SigmaII/MP940 DemoCase</t>
  </si>
  <si>
    <t>A preliminary graph is taken of speed and torque during the acceleration</t>
  </si>
  <si>
    <t>Friction torque is about 4% or 5%.</t>
  </si>
  <si>
    <t>The torque profile is a big spike rather than a constant level due to lack of tuning.</t>
  </si>
  <si>
    <t>This makes it difficult to estimate the peak torque level during acceleration.</t>
  </si>
  <si>
    <t>Limit the peak torque to a constant value.  Try 20%.  Set Pn402=20</t>
  </si>
  <si>
    <t>Measure the part of the graph where the torque holds constant.</t>
  </si>
  <si>
    <t>time between cursors: 43.4 ms</t>
  </si>
  <si>
    <t>Speed change: from 0 to 2500 rpm</t>
  </si>
  <si>
    <t>Plug in values to the Worksheet.  Result:  Pn103=117.</t>
  </si>
  <si>
    <t>Q: Why is this different than the value of 163% as calculated in Sigma Size?</t>
  </si>
  <si>
    <t>A: Friction torque is not linear.</t>
  </si>
  <si>
    <t>At 3000 rpm it was 5%.</t>
  </si>
  <si>
    <t>At 1000rpm it is 3.5%.</t>
  </si>
  <si>
    <t>At 60rpm it is 1.5%</t>
  </si>
  <si>
    <t>Rigidity Level</t>
  </si>
  <si>
    <t>Pn103</t>
  </si>
  <si>
    <t>Pn401</t>
  </si>
  <si>
    <t>Pn100</t>
  </si>
  <si>
    <t>Pn101</t>
  </si>
  <si>
    <t>Pn102</t>
  </si>
  <si>
    <t>Calculated</t>
  </si>
  <si>
    <r>
      <t>Pn103</t>
    </r>
    <r>
      <rPr>
        <b/>
        <sz val="10"/>
        <rFont val="Arial"/>
        <family val="2"/>
      </rPr>
      <t xml:space="preserve"> Setting</t>
    </r>
  </si>
  <si>
    <r>
      <t xml:space="preserve">Move each cursor inward until it intersects both a white </t>
    </r>
    <r>
      <rPr>
        <b/>
        <sz val="10"/>
        <rFont val="Arial"/>
        <family val="2"/>
      </rPr>
      <t>gridline</t>
    </r>
    <r>
      <rPr>
        <sz val="10"/>
        <rFont val="Arial"/>
        <family val="0"/>
      </rPr>
      <t xml:space="preserve"> and the </t>
    </r>
    <r>
      <rPr>
        <b/>
        <sz val="10"/>
        <rFont val="Arial"/>
        <family val="2"/>
      </rPr>
      <t>feedback</t>
    </r>
    <r>
      <rPr>
        <sz val="10"/>
        <rFont val="Arial"/>
        <family val="0"/>
      </rPr>
      <t xml:space="preserve"> </t>
    </r>
    <r>
      <rPr>
        <b/>
        <sz val="10"/>
        <rFont val="Arial"/>
        <family val="2"/>
      </rPr>
      <t>speed trace</t>
    </r>
  </si>
  <si>
    <t>Rigidity Table</t>
  </si>
  <si>
    <t>Level</t>
  </si>
  <si>
    <t>BandWidth in Hz</t>
  </si>
  <si>
    <t>Firmware Table</t>
  </si>
  <si>
    <t>xxx14 or lower</t>
  </si>
  <si>
    <t>33xxx or higher</t>
  </si>
  <si>
    <t>Selected</t>
  </si>
  <si>
    <t>Parameter</t>
  </si>
  <si>
    <t>System Information</t>
  </si>
  <si>
    <t>Actual BSF</t>
  </si>
  <si>
    <t>Target BSF</t>
  </si>
  <si>
    <t>Inertia Ratio (JL/Jm):1</t>
  </si>
  <si>
    <t>Tuning Parameters</t>
  </si>
  <si>
    <t>Amplifier Revision</t>
  </si>
  <si>
    <t>Number</t>
  </si>
  <si>
    <t>Range</t>
  </si>
  <si>
    <t>Pn103 Comp Factor</t>
  </si>
  <si>
    <t>Rigidity</t>
  </si>
  <si>
    <t>Actual</t>
  </si>
  <si>
    <t>Bandwidth</t>
  </si>
  <si>
    <t>Bandwidth Check</t>
  </si>
  <si>
    <t>Tuning</t>
  </si>
  <si>
    <t>SGMAH-A3</t>
  </si>
  <si>
    <t>SGMAH-A5</t>
  </si>
  <si>
    <t>SGMAH-01</t>
  </si>
  <si>
    <t>SGMAH-02</t>
  </si>
  <si>
    <t>SGMAH-04</t>
  </si>
  <si>
    <t>SGMAH-08</t>
  </si>
  <si>
    <t>SGMPH-01</t>
  </si>
  <si>
    <t>SGMPH-02</t>
  </si>
  <si>
    <t>SGMPH-04</t>
  </si>
  <si>
    <t>SGMPH-08</t>
  </si>
  <si>
    <t>SGMPH-15</t>
  </si>
  <si>
    <t>SGMGH-05</t>
  </si>
  <si>
    <t>SGMGH-09</t>
  </si>
  <si>
    <t>SGMGH-13</t>
  </si>
  <si>
    <t>SGMGH-20</t>
  </si>
  <si>
    <t>SGMGH-30</t>
  </si>
  <si>
    <t>SGMGH-44</t>
  </si>
  <si>
    <t>SGMGH-55</t>
  </si>
  <si>
    <t>SGMGH-75</t>
  </si>
  <si>
    <t>SGMGH-1A</t>
  </si>
  <si>
    <t>SGMGH-1E</t>
  </si>
  <si>
    <t>SGMSH-10</t>
  </si>
  <si>
    <t>SGMSH-15</t>
  </si>
  <si>
    <t>SGMSH-20</t>
  </si>
  <si>
    <t>SGMSH-30</t>
  </si>
  <si>
    <t>SGMSH-40</t>
  </si>
  <si>
    <t>SGMSH-50</t>
  </si>
  <si>
    <t>SGMUH-10</t>
  </si>
  <si>
    <t>SGMUH-30</t>
  </si>
  <si>
    <t>SGMBH-2BD</t>
  </si>
  <si>
    <t>SGMBH-3ZD</t>
  </si>
  <si>
    <t>SGMBH-3GD</t>
  </si>
  <si>
    <t>SGMBH-4ED</t>
  </si>
  <si>
    <t>SGMBH-5ED</t>
  </si>
  <si>
    <t>Torque</t>
  </si>
  <si>
    <t>Inertia</t>
  </si>
  <si>
    <t>Inertia With Brake</t>
  </si>
  <si>
    <t>SGMCS-45M</t>
  </si>
  <si>
    <t>SGMCS-80M</t>
  </si>
  <si>
    <t>SGMCS-1AM</t>
  </si>
  <si>
    <t>SGMCS-80N</t>
  </si>
  <si>
    <t>SGMCS-1EN</t>
  </si>
  <si>
    <t>SGMCS-2ZN</t>
  </si>
  <si>
    <t>SGMCS-02B</t>
  </si>
  <si>
    <t>SGMCS-05B</t>
  </si>
  <si>
    <t>SGMCS-07B</t>
  </si>
  <si>
    <t>SGMCS-04C</t>
  </si>
  <si>
    <t>SGMCS-10C</t>
  </si>
  <si>
    <t>SGMCS-14C</t>
  </si>
  <si>
    <t>SGMCS-08D</t>
  </si>
  <si>
    <t>SGMCS-17D</t>
  </si>
  <si>
    <t>SGMCS-25D</t>
  </si>
  <si>
    <t>SGMCS-16E</t>
  </si>
  <si>
    <t>SGMCS-35E</t>
  </si>
  <si>
    <t>RATED SPEED</t>
  </si>
  <si>
    <t>MAX SPEED</t>
  </si>
  <si>
    <t xml:space="preserve"> (20-bit Single-Turn Absolute)</t>
  </si>
  <si>
    <t>Encoder Type</t>
  </si>
  <si>
    <t>Please Select</t>
  </si>
  <si>
    <t>Reference</t>
  </si>
  <si>
    <t>Motors: Inertia By Graphical Analysis</t>
  </si>
  <si>
    <t>Motors: Reference Command Scaling</t>
  </si>
  <si>
    <t>Sigma II Servo Tuning Chart</t>
  </si>
  <si>
    <t>Amplifier:</t>
  </si>
  <si>
    <t>SGDH-</t>
  </si>
  <si>
    <t>Motor:</t>
  </si>
  <si>
    <t>Control Mode:</t>
  </si>
  <si>
    <t>Torque - Speed - Position - Contact</t>
  </si>
  <si>
    <t>Pn000.1= ______</t>
  </si>
  <si>
    <t>Settings</t>
  </si>
  <si>
    <t>Torque Loop</t>
  </si>
  <si>
    <t>Speed Loop</t>
  </si>
  <si>
    <t>Position Loop</t>
  </si>
  <si>
    <t>Performance Specs</t>
  </si>
  <si>
    <t>Torque Filter</t>
  </si>
  <si>
    <t>Notch Filter</t>
  </si>
  <si>
    <t>P-Gain</t>
  </si>
  <si>
    <t>I-Time</t>
  </si>
  <si>
    <t>Mode Switch</t>
  </si>
  <si>
    <t>Pos.Setl Time</t>
  </si>
  <si>
    <t>Max Pos. Err</t>
  </si>
  <si>
    <t>Torque Ripple</t>
  </si>
  <si>
    <t>Spd. Setl Time</t>
  </si>
  <si>
    <t>Speed Error</t>
  </si>
  <si>
    <t>Speed Ovrsht</t>
  </si>
  <si>
    <t>Comments</t>
  </si>
  <si>
    <t>Frequency</t>
  </si>
  <si>
    <t>Activation</t>
  </si>
  <si>
    <t>Select</t>
  </si>
  <si>
    <t>Pn409</t>
  </si>
  <si>
    <t>Pn408.0</t>
  </si>
  <si>
    <t>Pn10B.0</t>
  </si>
  <si>
    <t>Pn10C-F</t>
  </si>
  <si>
    <t>Pn109</t>
  </si>
  <si>
    <t>Orig.</t>
  </si>
  <si>
    <t>Prelim.</t>
  </si>
  <si>
    <t>Pn103 =</t>
  </si>
  <si>
    <t>Mode Switch Off</t>
  </si>
  <si>
    <r>
      <t>SGM</t>
    </r>
    <r>
      <rPr>
        <b/>
        <sz val="12"/>
        <rFont val="Arial"/>
        <family val="2"/>
      </rPr>
      <t xml:space="preserve">           -</t>
    </r>
  </si>
  <si>
    <t>Contents</t>
  </si>
  <si>
    <t>Speed</t>
  </si>
  <si>
    <t>Position</t>
  </si>
  <si>
    <t>Acc~Dec</t>
  </si>
  <si>
    <t>Inertia Theory</t>
  </si>
  <si>
    <t>Inertia Example</t>
  </si>
  <si>
    <t>Tuning Chart</t>
  </si>
  <si>
    <t>Tuning Instrns</t>
  </si>
  <si>
    <t>Motors</t>
  </si>
  <si>
    <t>Worksheet</t>
  </si>
  <si>
    <t>Description</t>
  </si>
  <si>
    <t>Inertia Techniques</t>
  </si>
  <si>
    <t>Theory of Inertia By Graphical Analysis</t>
  </si>
  <si>
    <t>Techniques for Inetia By Graphical Analysis</t>
  </si>
  <si>
    <t>An Example of Inertia By Graphical Analysis</t>
  </si>
  <si>
    <t>Tuning Chart to document the tuning process</t>
  </si>
  <si>
    <t>Instructions for the Tuning Chart</t>
  </si>
  <si>
    <t>List of motors and pertinent specifications for this workbook</t>
  </si>
  <si>
    <t>Torque Reference Input Scaling Calculation Tool</t>
  </si>
  <si>
    <t>Speed Reference Input Scaling Calculation Tool</t>
  </si>
  <si>
    <t>Acceleration ~ Deceleration Time (Soft Start)</t>
  </si>
  <si>
    <t>Tuning Parameter Calculation</t>
  </si>
  <si>
    <t>Parameters Calculated</t>
  </si>
  <si>
    <t>Pn400</t>
  </si>
  <si>
    <t>Pn300</t>
  </si>
  <si>
    <t>Position Reference Input Scaling</t>
  </si>
  <si>
    <t>Pn202, Pn203</t>
  </si>
  <si>
    <t>Pn305, Pn306</t>
  </si>
  <si>
    <t>Pn103, Pn401, Pn100, Pn101, Pn102</t>
  </si>
  <si>
    <t>Inertia By Graphical Analysis Calculation Tool</t>
  </si>
  <si>
    <t>in</t>
  </si>
  <si>
    <t>r= range warning</t>
  </si>
  <si>
    <t>d= difference</t>
  </si>
  <si>
    <t>n= encoder counts per ru</t>
  </si>
  <si>
    <t>a</t>
  </si>
  <si>
    <t>b</t>
  </si>
  <si>
    <t>distance moved with given number of command pulses</t>
  </si>
  <si>
    <t>Encoder Counts per R.U. (EGR)</t>
  </si>
  <si>
    <t>Forward</t>
  </si>
  <si>
    <t>Feed</t>
  </si>
  <si>
    <t>Auto-Tuning                          Off</t>
  </si>
  <si>
    <t xml:space="preserve">Pn110.0  =2  </t>
  </si>
  <si>
    <t>Set Inertia Ratio</t>
  </si>
  <si>
    <t xml:space="preserve">Pn10B.0  =4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</si>
</sst>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s>
  <fonts count="40">
    <font>
      <sz val="10"/>
      <name val="Arial"/>
      <family val="0"/>
    </font>
    <font>
      <b/>
      <sz val="10"/>
      <name val="Arial"/>
      <family val="2"/>
    </font>
    <font>
      <b/>
      <sz val="14"/>
      <name val="Arial"/>
      <family val="2"/>
    </font>
    <font>
      <sz val="8"/>
      <name val="Tahoma"/>
      <family val="2"/>
    </font>
    <font>
      <sz val="10"/>
      <color indexed="8"/>
      <name val="Arial"/>
      <family val="2"/>
    </font>
    <font>
      <b/>
      <sz val="8"/>
      <name val="Tahoma"/>
      <family val="2"/>
    </font>
    <font>
      <sz val="10"/>
      <color indexed="10"/>
      <name val="Arial"/>
      <family val="2"/>
    </font>
    <font>
      <u val="single"/>
      <sz val="10"/>
      <color indexed="12"/>
      <name val="Arial"/>
      <family val="0"/>
    </font>
    <font>
      <b/>
      <sz val="10"/>
      <color indexed="10"/>
      <name val="Arial"/>
      <family val="2"/>
    </font>
    <font>
      <i/>
      <sz val="10"/>
      <name val="Arial"/>
      <family val="2"/>
    </font>
    <font>
      <sz val="8"/>
      <name val="Arial"/>
      <family val="2"/>
    </font>
    <font>
      <sz val="8"/>
      <color indexed="12"/>
      <name val="Arial"/>
      <family val="2"/>
    </font>
    <font>
      <sz val="8"/>
      <color indexed="19"/>
      <name val="Arial"/>
      <family val="2"/>
    </font>
    <font>
      <b/>
      <sz val="10"/>
      <color indexed="12"/>
      <name val="Arial"/>
      <family val="2"/>
    </font>
    <font>
      <b/>
      <sz val="8"/>
      <name val="Arial"/>
      <family val="2"/>
    </font>
    <font>
      <b/>
      <sz val="8"/>
      <color indexed="12"/>
      <name val="Tahoma"/>
      <family val="2"/>
    </font>
    <font>
      <b/>
      <sz val="8"/>
      <color indexed="48"/>
      <name val="Tahoma"/>
      <family val="2"/>
    </font>
    <font>
      <sz val="10"/>
      <color indexed="9"/>
      <name val="Arial"/>
      <family val="2"/>
    </font>
    <font>
      <b/>
      <sz val="10"/>
      <color indexed="9"/>
      <name val="Arial"/>
      <family val="2"/>
    </font>
    <font>
      <u val="single"/>
      <sz val="10"/>
      <color indexed="36"/>
      <name val="Arial"/>
      <family val="0"/>
    </font>
    <font>
      <sz val="14"/>
      <name val="Arial"/>
      <family val="2"/>
    </font>
    <font>
      <b/>
      <sz val="12"/>
      <name val="Arial"/>
      <family val="2"/>
    </font>
    <font>
      <b/>
      <i/>
      <sz val="10"/>
      <name val="Arial"/>
      <family val="2"/>
    </font>
    <font>
      <b/>
      <sz val="8"/>
      <color indexed="10"/>
      <name val="Arial"/>
      <family val="2"/>
    </font>
    <font>
      <b/>
      <sz val="16"/>
      <name val="Arial"/>
      <family val="2"/>
    </font>
    <font>
      <b/>
      <i/>
      <sz val="10"/>
      <color indexed="10"/>
      <name val="Arial"/>
      <family val="2"/>
    </font>
    <font>
      <i/>
      <sz val="8"/>
      <name val="Tahoma"/>
      <family val="2"/>
    </font>
    <font>
      <b/>
      <sz val="20"/>
      <name val="Arial"/>
      <family val="2"/>
    </font>
    <font>
      <sz val="6"/>
      <name val="Arial"/>
      <family val="2"/>
    </font>
    <font>
      <b/>
      <sz val="10"/>
      <color indexed="8"/>
      <name val="Arial"/>
      <family val="2"/>
    </font>
    <font>
      <sz val="20"/>
      <name val="Arial"/>
      <family val="2"/>
    </font>
    <font>
      <sz val="12"/>
      <name val="Arial"/>
      <family val="2"/>
    </font>
    <font>
      <sz val="10"/>
      <color indexed="43"/>
      <name val="Arial"/>
      <family val="2"/>
    </font>
    <font>
      <sz val="16"/>
      <name val="Arial"/>
      <family val="2"/>
    </font>
    <font>
      <b/>
      <i/>
      <sz val="12"/>
      <name val="Arial"/>
      <family val="2"/>
    </font>
    <font>
      <sz val="12"/>
      <name val="Courier New"/>
      <family val="3"/>
    </font>
    <font>
      <sz val="6"/>
      <name val="Courier New"/>
      <family val="3"/>
    </font>
    <font>
      <sz val="8"/>
      <color indexed="10"/>
      <name val="Arial"/>
      <family val="2"/>
    </font>
    <font>
      <b/>
      <u val="single"/>
      <sz val="10"/>
      <color indexed="12"/>
      <name val="Arial"/>
      <family val="2"/>
    </font>
    <font>
      <sz val="10"/>
      <name val="Times New Roman"/>
      <family val="1"/>
    </font>
  </fonts>
  <fills count="13">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52"/>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62"/>
        <bgColor indexed="64"/>
      </patternFill>
    </fill>
  </fills>
  <borders count="67">
    <border>
      <left/>
      <right/>
      <top/>
      <bottom/>
      <diagonal/>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hair"/>
      <bottom style="hair"/>
    </border>
    <border>
      <left style="medium"/>
      <right>
        <color indexed="63"/>
      </right>
      <top style="hair"/>
      <bottom>
        <color indexed="63"/>
      </bottom>
    </border>
    <border>
      <left style="medium"/>
      <right>
        <color indexed="63"/>
      </right>
      <top style="hair"/>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hair"/>
    </border>
    <border>
      <left style="medium"/>
      <right>
        <color indexed="63"/>
      </right>
      <top style="hair"/>
      <bottom style="thin"/>
    </border>
    <border>
      <left style="medium"/>
      <right>
        <color indexed="63"/>
      </right>
      <top style="thin"/>
      <bottom style="hair"/>
    </border>
    <border>
      <left style="medium"/>
      <right style="medium"/>
      <top>
        <color indexed="63"/>
      </top>
      <bottom>
        <color indexed="63"/>
      </botto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color indexed="12"/>
      </left>
      <right style="medium">
        <color indexed="12"/>
      </right>
      <top style="medium">
        <color indexed="12"/>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color indexed="12"/>
      </left>
      <right style="medium">
        <color indexed="12"/>
      </right>
      <top>
        <color indexed="63"/>
      </top>
      <bottom style="medium">
        <color indexed="12"/>
      </bottom>
    </border>
    <border>
      <left style="medium"/>
      <right>
        <color indexed="63"/>
      </right>
      <top>
        <color indexed="63"/>
      </top>
      <bottom style="double"/>
    </border>
    <border>
      <left>
        <color indexed="63"/>
      </left>
      <right style="medium"/>
      <top>
        <color indexed="63"/>
      </top>
      <bottom style="double"/>
    </border>
    <border>
      <left style="double"/>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thin"/>
      <right style="medium"/>
      <top style="medium"/>
      <bottom style="thin"/>
    </border>
    <border>
      <left style="medium"/>
      <right style="medium"/>
      <top>
        <color indexed="63"/>
      </top>
      <bottom style="mediu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right style="medium"/>
      <top style="medium"/>
      <bottom>
        <color indexed="63"/>
      </bottom>
    </border>
    <border>
      <left>
        <color indexed="63"/>
      </left>
      <right style="medium"/>
      <top style="medium"/>
      <bottom style="medium"/>
    </border>
    <border>
      <left style="thin"/>
      <right style="thin"/>
      <top>
        <color indexed="63"/>
      </top>
      <bottom style="thin"/>
    </border>
    <border>
      <left style="thin"/>
      <right style="medium"/>
      <top>
        <color indexed="63"/>
      </top>
      <bottom style="thin"/>
    </border>
    <border>
      <left style="medium"/>
      <right style="dashed"/>
      <top>
        <color indexed="63"/>
      </top>
      <bottom style="medium"/>
    </border>
    <border>
      <left style="dashed"/>
      <right style="dashed"/>
      <top>
        <color indexed="63"/>
      </top>
      <bottom style="medium"/>
    </border>
    <border>
      <left style="dashed"/>
      <right style="medium"/>
      <top>
        <color indexed="63"/>
      </top>
      <bottom style="medium"/>
    </border>
    <border>
      <left style="dashed"/>
      <right>
        <color indexed="63"/>
      </right>
      <top>
        <color indexed="63"/>
      </top>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dashed"/>
      <right>
        <color indexed="63"/>
      </right>
      <top style="medium"/>
      <bottom style="medium"/>
    </border>
    <border>
      <left style="medium"/>
      <right style="dashed"/>
      <top>
        <color indexed="63"/>
      </top>
      <bottom>
        <color indexed="63"/>
      </bottom>
    </border>
    <border>
      <left style="dashed"/>
      <right style="dashed"/>
      <top>
        <color indexed="63"/>
      </top>
      <bottom>
        <color indexed="63"/>
      </bottom>
    </border>
    <border>
      <left style="dashed"/>
      <right style="medium"/>
      <top>
        <color indexed="63"/>
      </top>
      <bottom>
        <color indexed="63"/>
      </bottom>
    </border>
    <border>
      <left style="dashed"/>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medium"/>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thin"/>
      <right style="medium"/>
      <top style="thin"/>
      <bottom>
        <color indexed="63"/>
      </bottom>
    </border>
    <border>
      <left style="medium"/>
      <right>
        <color indexed="63"/>
      </right>
      <top style="medium"/>
      <bottom style="medium"/>
    </border>
    <border>
      <left style="double"/>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90">
    <xf numFmtId="0" fontId="0" fillId="0" borderId="0" xfId="0" applyAlignment="1">
      <alignment/>
    </xf>
    <xf numFmtId="0" fontId="0" fillId="0" borderId="0" xfId="0" applyFont="1" applyAlignment="1">
      <alignment/>
    </xf>
    <xf numFmtId="0" fontId="2" fillId="2" borderId="0" xfId="0" applyFont="1" applyFill="1" applyAlignment="1">
      <alignment/>
    </xf>
    <xf numFmtId="0" fontId="0" fillId="2" borderId="0" xfId="0" applyFill="1" applyAlignment="1">
      <alignment/>
    </xf>
    <xf numFmtId="0" fontId="1" fillId="2" borderId="0" xfId="0" applyFont="1" applyFill="1" applyAlignment="1">
      <alignment/>
    </xf>
    <xf numFmtId="0" fontId="0" fillId="2" borderId="0" xfId="0" applyFont="1" applyFill="1" applyAlignment="1">
      <alignment/>
    </xf>
    <xf numFmtId="0" fontId="0" fillId="0" borderId="0" xfId="0" applyFill="1" applyAlignment="1">
      <alignment/>
    </xf>
    <xf numFmtId="0" fontId="0" fillId="3" borderId="1" xfId="0" applyFill="1" applyBorder="1" applyAlignment="1" applyProtection="1">
      <alignment/>
      <protection locked="0"/>
    </xf>
    <xf numFmtId="0" fontId="0" fillId="2" borderId="2" xfId="0" applyFill="1" applyBorder="1" applyAlignment="1">
      <alignment/>
    </xf>
    <xf numFmtId="0" fontId="0" fillId="3" borderId="3" xfId="0" applyFill="1" applyBorder="1" applyAlignment="1" applyProtection="1">
      <alignment/>
      <protection locked="0"/>
    </xf>
    <xf numFmtId="0" fontId="1" fillId="4" borderId="3" xfId="0" applyFont="1" applyFill="1" applyBorder="1" applyAlignment="1">
      <alignment/>
    </xf>
    <xf numFmtId="0" fontId="1" fillId="4" borderId="4"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5" xfId="0" applyFont="1" applyFill="1" applyBorder="1" applyAlignment="1">
      <alignment horizontal="lef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1" fillId="4" borderId="1" xfId="0" applyFont="1" applyFill="1" applyBorder="1" applyAlignment="1">
      <alignment/>
    </xf>
    <xf numFmtId="0" fontId="0" fillId="3" borderId="4" xfId="0" applyFill="1" applyBorder="1" applyAlignment="1" applyProtection="1">
      <alignment/>
      <protection locked="0"/>
    </xf>
    <xf numFmtId="0" fontId="1" fillId="4" borderId="3" xfId="0" applyFont="1" applyFill="1" applyBorder="1" applyAlignment="1" applyProtection="1">
      <alignment/>
      <protection/>
    </xf>
    <xf numFmtId="0" fontId="2" fillId="2" borderId="0" xfId="0" applyFont="1" applyFill="1" applyAlignment="1" applyProtection="1">
      <alignment/>
      <protection locked="0"/>
    </xf>
    <xf numFmtId="0" fontId="0" fillId="2" borderId="0" xfId="0" applyFill="1" applyAlignment="1" applyProtection="1">
      <alignment/>
      <protection locked="0"/>
    </xf>
    <xf numFmtId="0" fontId="0" fillId="0" borderId="0" xfId="0" applyAlignment="1" applyProtection="1">
      <alignment/>
      <protection locked="0"/>
    </xf>
    <xf numFmtId="0" fontId="0" fillId="2" borderId="10" xfId="0" applyFill="1" applyBorder="1" applyAlignment="1" applyProtection="1">
      <alignment/>
      <protection locked="0"/>
    </xf>
    <xf numFmtId="0" fontId="0" fillId="2" borderId="5" xfId="0" applyFill="1" applyBorder="1" applyAlignment="1" applyProtection="1">
      <alignment/>
      <protection locked="0"/>
    </xf>
    <xf numFmtId="0" fontId="0" fillId="2" borderId="2" xfId="0" applyFill="1" applyBorder="1" applyAlignment="1" applyProtection="1">
      <alignment horizontal="center"/>
      <protection locked="0"/>
    </xf>
    <xf numFmtId="0" fontId="1" fillId="4" borderId="1" xfId="0" applyFont="1" applyFill="1" applyBorder="1" applyAlignment="1" applyProtection="1">
      <alignment/>
      <protection/>
    </xf>
    <xf numFmtId="0" fontId="0" fillId="2" borderId="6" xfId="0" applyFont="1" applyFill="1" applyBorder="1" applyAlignment="1">
      <alignment horizontal="left"/>
    </xf>
    <xf numFmtId="0" fontId="0" fillId="3" borderId="3" xfId="0" applyFill="1" applyBorder="1" applyAlignment="1" applyProtection="1">
      <alignment horizontal="center"/>
      <protection locked="0"/>
    </xf>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0" xfId="0" applyAlignment="1">
      <alignment horizontal="center"/>
    </xf>
    <xf numFmtId="0" fontId="0" fillId="0" borderId="0" xfId="0" applyFill="1" applyAlignment="1" applyProtection="1">
      <alignment/>
      <protection locked="0"/>
    </xf>
    <xf numFmtId="0" fontId="0" fillId="3" borderId="0" xfId="0" applyFill="1" applyAlignment="1">
      <alignment/>
    </xf>
    <xf numFmtId="0" fontId="0" fillId="3" borderId="0" xfId="0" applyFill="1" applyAlignment="1">
      <alignment horizontal="center" wrapText="1"/>
    </xf>
    <xf numFmtId="0" fontId="0" fillId="3" borderId="0" xfId="0" applyFill="1" applyBorder="1" applyAlignment="1">
      <alignment horizontal="center" wrapText="1"/>
    </xf>
    <xf numFmtId="0" fontId="0" fillId="0" borderId="0" xfId="0" applyAlignment="1">
      <alignment horizontal="center" wrapText="1"/>
    </xf>
    <xf numFmtId="0" fontId="0" fillId="0" borderId="8" xfId="0" applyFont="1" applyBorder="1" applyAlignment="1">
      <alignment/>
    </xf>
    <xf numFmtId="0" fontId="0" fillId="2" borderId="11" xfId="0" applyFont="1" applyFill="1" applyBorder="1" applyAlignment="1">
      <alignment/>
    </xf>
    <xf numFmtId="0" fontId="0" fillId="2" borderId="12" xfId="0" applyFont="1" applyFill="1" applyBorder="1" applyAlignment="1">
      <alignment/>
    </xf>
    <xf numFmtId="0" fontId="0" fillId="2" borderId="2" xfId="0" applyFont="1" applyFill="1" applyBorder="1" applyAlignment="1">
      <alignment/>
    </xf>
    <xf numFmtId="0" fontId="0" fillId="5" borderId="3" xfId="0" applyFill="1" applyBorder="1" applyAlignment="1" applyProtection="1">
      <alignment vertical="center"/>
      <protection hidden="1"/>
    </xf>
    <xf numFmtId="0" fontId="0" fillId="5" borderId="13" xfId="0" applyFill="1" applyBorder="1" applyAlignment="1" applyProtection="1">
      <alignment vertical="center"/>
      <protection hidden="1"/>
    </xf>
    <xf numFmtId="0" fontId="0" fillId="5" borderId="3" xfId="0" applyFill="1" applyBorder="1" applyAlignment="1" applyProtection="1">
      <alignment horizontal="center" vertical="center"/>
      <protection hidden="1"/>
    </xf>
    <xf numFmtId="0" fontId="0" fillId="5" borderId="13" xfId="0" applyFill="1" applyBorder="1" applyAlignment="1" applyProtection="1">
      <alignment horizontal="center" vertical="center"/>
      <protection hidden="1"/>
    </xf>
    <xf numFmtId="0" fontId="1" fillId="4" borderId="14" xfId="0" applyFont="1" applyFill="1" applyBorder="1" applyAlignment="1">
      <alignment horizontal="center"/>
    </xf>
    <xf numFmtId="0" fontId="9" fillId="3" borderId="0" xfId="0" applyFont="1" applyFill="1" applyAlignment="1">
      <alignment horizontal="center" wrapText="1"/>
    </xf>
    <xf numFmtId="0" fontId="0" fillId="2" borderId="6" xfId="0" applyFill="1" applyBorder="1" applyAlignment="1" applyProtection="1">
      <alignment/>
      <protection locked="0"/>
    </xf>
    <xf numFmtId="0" fontId="21" fillId="2" borderId="0" xfId="0" applyFont="1" applyFill="1" applyBorder="1" applyAlignment="1">
      <alignment horizontal="center"/>
    </xf>
    <xf numFmtId="0" fontId="0" fillId="2" borderId="0" xfId="0" applyFill="1" applyBorder="1" applyAlignment="1">
      <alignment/>
    </xf>
    <xf numFmtId="0" fontId="22" fillId="2" borderId="15" xfId="0" applyFont="1" applyFill="1" applyBorder="1" applyAlignment="1">
      <alignment/>
    </xf>
    <xf numFmtId="0" fontId="22" fillId="2" borderId="16" xfId="0" applyFont="1" applyFill="1" applyBorder="1" applyAlignment="1">
      <alignment horizontal="center"/>
    </xf>
    <xf numFmtId="0" fontId="22" fillId="2" borderId="17" xfId="0" applyFont="1" applyFill="1" applyBorder="1" applyAlignment="1">
      <alignment horizontal="center"/>
    </xf>
    <xf numFmtId="0" fontId="22" fillId="2" borderId="18" xfId="0" applyFont="1" applyFill="1" applyBorder="1" applyAlignment="1">
      <alignment/>
    </xf>
    <xf numFmtId="0" fontId="1" fillId="2" borderId="9" xfId="0" applyFont="1" applyFill="1" applyBorder="1" applyAlignment="1">
      <alignment/>
    </xf>
    <xf numFmtId="0" fontId="1" fillId="2" borderId="19" xfId="0" applyFont="1" applyFill="1" applyBorder="1" applyAlignment="1">
      <alignment/>
    </xf>
    <xf numFmtId="0" fontId="0" fillId="2" borderId="4" xfId="0" applyFill="1" applyBorder="1" applyAlignment="1">
      <alignment/>
    </xf>
    <xf numFmtId="0" fontId="0" fillId="2" borderId="20" xfId="0" applyFill="1" applyBorder="1" applyAlignment="1">
      <alignment/>
    </xf>
    <xf numFmtId="0" fontId="22" fillId="2" borderId="8" xfId="0" applyFont="1" applyFill="1" applyBorder="1" applyAlignment="1">
      <alignment/>
    </xf>
    <xf numFmtId="0" fontId="22" fillId="2" borderId="21" xfId="0" applyFont="1" applyFill="1" applyBorder="1" applyAlignment="1">
      <alignment/>
    </xf>
    <xf numFmtId="0" fontId="22" fillId="2" borderId="1" xfId="0" applyFont="1" applyFill="1" applyBorder="1" applyAlignment="1">
      <alignment/>
    </xf>
    <xf numFmtId="0" fontId="0" fillId="4" borderId="22" xfId="0" applyFill="1" applyBorder="1" applyAlignment="1" applyProtection="1">
      <alignment/>
      <protection/>
    </xf>
    <xf numFmtId="0" fontId="1" fillId="2" borderId="0" xfId="0" applyFont="1" applyFill="1" applyBorder="1" applyAlignment="1">
      <alignment/>
    </xf>
    <xf numFmtId="1" fontId="1" fillId="2" borderId="0" xfId="0" applyNumberFormat="1" applyFont="1" applyFill="1" applyBorder="1" applyAlignment="1">
      <alignment/>
    </xf>
    <xf numFmtId="0" fontId="0" fillId="0" borderId="0" xfId="0" applyBorder="1" applyAlignment="1">
      <alignment/>
    </xf>
    <xf numFmtId="11" fontId="0" fillId="4" borderId="22" xfId="0" applyNumberFormat="1" applyFill="1" applyBorder="1" applyAlignment="1" applyProtection="1">
      <alignment/>
      <protection/>
    </xf>
    <xf numFmtId="0" fontId="1" fillId="2" borderId="8" xfId="0" applyFont="1" applyFill="1" applyBorder="1" applyAlignment="1">
      <alignment/>
    </xf>
    <xf numFmtId="11" fontId="1" fillId="2" borderId="1" xfId="0" applyNumberFormat="1" applyFont="1" applyFill="1" applyBorder="1" applyAlignment="1">
      <alignment/>
    </xf>
    <xf numFmtId="0" fontId="1" fillId="2" borderId="23" xfId="0" applyFont="1" applyFill="1" applyBorder="1" applyAlignment="1">
      <alignment/>
    </xf>
    <xf numFmtId="2" fontId="1" fillId="2" borderId="24" xfId="0" applyNumberFormat="1" applyFont="1" applyFill="1" applyBorder="1" applyAlignment="1">
      <alignment/>
    </xf>
    <xf numFmtId="0" fontId="21" fillId="2" borderId="25" xfId="0" applyFont="1" applyFill="1" applyBorder="1" applyAlignment="1">
      <alignment/>
    </xf>
    <xf numFmtId="1" fontId="21" fillId="2" borderId="26" xfId="0" applyNumberFormat="1" applyFont="1" applyFill="1" applyBorder="1" applyAlignment="1">
      <alignment horizontal="center"/>
    </xf>
    <xf numFmtId="0" fontId="0" fillId="4" borderId="0" xfId="0" applyFill="1" applyBorder="1" applyAlignment="1">
      <alignment horizontal="center"/>
    </xf>
    <xf numFmtId="0" fontId="0" fillId="6" borderId="0" xfId="0" applyFill="1" applyBorder="1" applyAlignment="1">
      <alignment horizontal="center"/>
    </xf>
    <xf numFmtId="0" fontId="0" fillId="7" borderId="0" xfId="0" applyFill="1" applyBorder="1" applyAlignment="1">
      <alignment horizontal="center"/>
    </xf>
    <xf numFmtId="0" fontId="0" fillId="8" borderId="0" xfId="0" applyFill="1" applyBorder="1" applyAlignment="1">
      <alignment horizontal="center"/>
    </xf>
    <xf numFmtId="0" fontId="0" fillId="9" borderId="0" xfId="0" applyFill="1" applyBorder="1" applyAlignment="1">
      <alignment horizontal="center"/>
    </xf>
    <xf numFmtId="0" fontId="25" fillId="2" borderId="0" xfId="0" applyFont="1" applyFill="1" applyAlignment="1">
      <alignment/>
    </xf>
    <xf numFmtId="0" fontId="22" fillId="2" borderId="0" xfId="0" applyFont="1" applyFill="1" applyAlignment="1">
      <alignment/>
    </xf>
    <xf numFmtId="0" fontId="22" fillId="2" borderId="0" xfId="0" applyFont="1" applyFill="1" applyAlignment="1">
      <alignment vertical="top"/>
    </xf>
    <xf numFmtId="0" fontId="0" fillId="2" borderId="0" xfId="0" applyFill="1" applyAlignment="1">
      <alignment vertical="center" wrapText="1"/>
    </xf>
    <xf numFmtId="0" fontId="0" fillId="0" borderId="0" xfId="0" applyAlignment="1">
      <alignment vertical="center" wrapText="1"/>
    </xf>
    <xf numFmtId="1" fontId="0" fillId="0" borderId="0" xfId="0" applyNumberFormat="1" applyAlignment="1">
      <alignment/>
    </xf>
    <xf numFmtId="1" fontId="0" fillId="2" borderId="0" xfId="0" applyNumberFormat="1" applyFill="1" applyAlignment="1">
      <alignment/>
    </xf>
    <xf numFmtId="0" fontId="0" fillId="2" borderId="0" xfId="0" applyNumberFormat="1" applyFill="1" applyAlignment="1">
      <alignment/>
    </xf>
    <xf numFmtId="0" fontId="0" fillId="2" borderId="0" xfId="0" applyFill="1" applyAlignment="1">
      <alignment horizontal="center"/>
    </xf>
    <xf numFmtId="0" fontId="1" fillId="2" borderId="15" xfId="0" applyFont="1" applyFill="1" applyBorder="1" applyAlignment="1">
      <alignment/>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7" xfId="0" applyFont="1" applyFill="1" applyBorder="1" applyAlignment="1">
      <alignment/>
    </xf>
    <xf numFmtId="0" fontId="0" fillId="5" borderId="28" xfId="0" applyFill="1" applyBorder="1" applyAlignment="1">
      <alignment horizontal="center" vertical="center" wrapText="1"/>
    </xf>
    <xf numFmtId="0" fontId="0" fillId="5" borderId="29" xfId="0" applyFill="1" applyBorder="1" applyAlignment="1">
      <alignment horizontal="center" vertical="center" wrapText="1"/>
    </xf>
    <xf numFmtId="1" fontId="0" fillId="4" borderId="28" xfId="0" applyNumberFormat="1" applyFill="1" applyBorder="1" applyAlignment="1">
      <alignment horizontal="center"/>
    </xf>
    <xf numFmtId="0" fontId="0" fillId="4" borderId="28" xfId="0" applyFill="1" applyBorder="1" applyAlignment="1">
      <alignment horizontal="center"/>
    </xf>
    <xf numFmtId="0" fontId="0" fillId="4" borderId="29" xfId="0" applyFill="1" applyBorder="1" applyAlignment="1">
      <alignment horizontal="center"/>
    </xf>
    <xf numFmtId="0" fontId="0" fillId="2" borderId="28" xfId="0" applyNumberFormat="1" applyFill="1" applyBorder="1" applyAlignment="1">
      <alignment horizontal="center"/>
    </xf>
    <xf numFmtId="0" fontId="0" fillId="2" borderId="29" xfId="0" applyNumberFormat="1" applyFill="1" applyBorder="1" applyAlignment="1">
      <alignment horizontal="center"/>
    </xf>
    <xf numFmtId="1" fontId="0" fillId="9" borderId="28" xfId="0" applyNumberFormat="1" applyFill="1" applyBorder="1" applyAlignment="1">
      <alignment horizontal="center"/>
    </xf>
    <xf numFmtId="1" fontId="0" fillId="9" borderId="29" xfId="0" applyNumberFormat="1" applyFill="1" applyBorder="1" applyAlignment="1">
      <alignment horizontal="center"/>
    </xf>
    <xf numFmtId="0" fontId="0" fillId="2" borderId="28"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xf>
    <xf numFmtId="0" fontId="0" fillId="2" borderId="31" xfId="0" applyFill="1" applyBorder="1" applyAlignment="1">
      <alignment/>
    </xf>
    <xf numFmtId="0" fontId="0" fillId="2" borderId="32" xfId="0" applyFill="1" applyBorder="1" applyAlignment="1">
      <alignment/>
    </xf>
    <xf numFmtId="1" fontId="1" fillId="2" borderId="15" xfId="0" applyNumberFormat="1" applyFont="1" applyFill="1" applyBorder="1" applyAlignment="1">
      <alignment/>
    </xf>
    <xf numFmtId="0" fontId="1" fillId="2" borderId="30" xfId="0" applyFont="1" applyFill="1" applyBorder="1" applyAlignment="1">
      <alignment/>
    </xf>
    <xf numFmtId="0" fontId="0" fillId="5" borderId="32" xfId="0" applyFill="1" applyBorder="1" applyAlignment="1">
      <alignment horizontal="center"/>
    </xf>
    <xf numFmtId="1" fontId="0" fillId="3" borderId="33" xfId="0" applyNumberFormat="1" applyFill="1" applyBorder="1" applyAlignment="1" applyProtection="1">
      <alignment horizontal="center"/>
      <protection locked="0"/>
    </xf>
    <xf numFmtId="0" fontId="0" fillId="3" borderId="33" xfId="0" applyFill="1" applyBorder="1" applyAlignment="1" applyProtection="1">
      <alignment horizontal="center"/>
      <protection locked="0"/>
    </xf>
    <xf numFmtId="0" fontId="0" fillId="3" borderId="34" xfId="0" applyFill="1" applyBorder="1" applyAlignment="1" applyProtection="1">
      <alignment horizontal="center"/>
      <protection locked="0"/>
    </xf>
    <xf numFmtId="1" fontId="0" fillId="3" borderId="35" xfId="0" applyNumberFormat="1" applyFill="1" applyBorder="1" applyAlignment="1" applyProtection="1">
      <alignment horizontal="center"/>
      <protection locked="0"/>
    </xf>
    <xf numFmtId="0" fontId="27" fillId="2" borderId="0" xfId="0" applyFont="1" applyFill="1" applyAlignment="1">
      <alignment horizontal="center"/>
    </xf>
    <xf numFmtId="0" fontId="27" fillId="0" borderId="0" xfId="0" applyFont="1" applyFill="1" applyAlignment="1">
      <alignment horizontal="center"/>
    </xf>
    <xf numFmtId="0" fontId="0" fillId="0" borderId="0" xfId="0" applyFill="1" applyAlignment="1">
      <alignment vertical="center" wrapText="1"/>
    </xf>
    <xf numFmtId="1" fontId="0" fillId="0" borderId="0" xfId="0" applyNumberFormat="1" applyFill="1" applyAlignment="1">
      <alignment/>
    </xf>
    <xf numFmtId="0" fontId="0" fillId="0" borderId="0" xfId="0" applyAlignment="1" applyProtection="1">
      <alignment horizontal="center"/>
      <protection locked="0"/>
    </xf>
    <xf numFmtId="0" fontId="6" fillId="2" borderId="0" xfId="0" applyFont="1" applyFill="1" applyAlignment="1">
      <alignment horizontal="center" vertical="center" wrapText="1"/>
    </xf>
    <xf numFmtId="0" fontId="1" fillId="2" borderId="0" xfId="0" applyFont="1" applyFill="1" applyAlignment="1">
      <alignment horizontal="center"/>
    </xf>
    <xf numFmtId="0" fontId="0" fillId="2" borderId="0" xfId="0" applyFill="1" applyBorder="1" applyAlignment="1" applyProtection="1">
      <alignment vertical="center"/>
      <protection hidden="1"/>
    </xf>
    <xf numFmtId="0" fontId="0" fillId="5" borderId="4" xfId="0" applyFill="1" applyBorder="1" applyAlignment="1" applyProtection="1">
      <alignment vertical="center"/>
      <protection hidden="1"/>
    </xf>
    <xf numFmtId="0" fontId="0" fillId="5" borderId="36" xfId="0" applyFill="1" applyBorder="1" applyAlignment="1" applyProtection="1">
      <alignment vertical="center"/>
      <protection hidden="1"/>
    </xf>
    <xf numFmtId="0" fontId="0" fillId="3" borderId="37" xfId="0" applyFill="1" applyBorder="1" applyAlignment="1" applyProtection="1">
      <alignment/>
      <protection locked="0"/>
    </xf>
    <xf numFmtId="0" fontId="0" fillId="3" borderId="37" xfId="0" applyFill="1" applyBorder="1" applyAlignment="1" applyProtection="1">
      <alignment/>
      <protection/>
    </xf>
    <xf numFmtId="0" fontId="32" fillId="3" borderId="38" xfId="0" applyFont="1" applyFill="1" applyBorder="1" applyAlignment="1" applyProtection="1">
      <alignment/>
      <protection locked="0"/>
    </xf>
    <xf numFmtId="0" fontId="0" fillId="0" borderId="0" xfId="0" applyBorder="1" applyAlignment="1">
      <alignment/>
    </xf>
    <xf numFmtId="0" fontId="6" fillId="2" borderId="0" xfId="0" applyFont="1" applyFill="1" applyBorder="1" applyAlignment="1">
      <alignment vertical="center" wrapText="1"/>
    </xf>
    <xf numFmtId="0" fontId="0" fillId="2" borderId="0" xfId="0" applyFill="1" applyBorder="1" applyAlignment="1">
      <alignment vertical="center"/>
    </xf>
    <xf numFmtId="175" fontId="23" fillId="2" borderId="0" xfId="0" applyNumberFormat="1" applyFont="1" applyFill="1" applyBorder="1" applyAlignment="1">
      <alignment horizontal="left" vertical="center" wrapText="1"/>
    </xf>
    <xf numFmtId="0" fontId="23" fillId="2" borderId="0" xfId="0" applyFont="1" applyFill="1" applyBorder="1" applyAlignment="1">
      <alignment vertical="center" wrapText="1"/>
    </xf>
    <xf numFmtId="0" fontId="22" fillId="2" borderId="39" xfId="0" applyFont="1" applyFill="1" applyBorder="1" applyAlignment="1">
      <alignment/>
    </xf>
    <xf numFmtId="11" fontId="0" fillId="10" borderId="0" xfId="0" applyNumberFormat="1" applyFill="1" applyBorder="1" applyAlignment="1">
      <alignment horizontal="center"/>
    </xf>
    <xf numFmtId="0" fontId="0" fillId="11" borderId="0" xfId="0" applyFont="1" applyFill="1" applyBorder="1" applyAlignment="1">
      <alignment horizontal="center"/>
    </xf>
    <xf numFmtId="0" fontId="0" fillId="10" borderId="0" xfId="0" applyFill="1" applyBorder="1" applyAlignment="1">
      <alignment horizontal="center"/>
    </xf>
    <xf numFmtId="0" fontId="0" fillId="10" borderId="0" xfId="0" applyNumberFormat="1" applyFill="1" applyBorder="1" applyAlignment="1">
      <alignment horizontal="center"/>
    </xf>
    <xf numFmtId="0" fontId="9" fillId="3" borderId="0" xfId="0" applyFont="1" applyFill="1" applyAlignment="1">
      <alignment horizontal="center"/>
    </xf>
    <xf numFmtId="0" fontId="0" fillId="3" borderId="0" xfId="0" applyFill="1" applyBorder="1" applyAlignment="1">
      <alignment horizontal="center"/>
    </xf>
    <xf numFmtId="0" fontId="0" fillId="0" borderId="0" xfId="0" applyFill="1" applyAlignment="1">
      <alignment horizontal="center" wrapText="1"/>
    </xf>
    <xf numFmtId="0" fontId="0" fillId="0" borderId="0" xfId="0" applyFill="1" applyBorder="1" applyAlignment="1">
      <alignment horizontal="center"/>
    </xf>
    <xf numFmtId="0" fontId="0" fillId="0" borderId="0" xfId="0" applyFont="1" applyFill="1" applyBorder="1" applyAlignment="1">
      <alignment horizontal="center"/>
    </xf>
    <xf numFmtId="0" fontId="0" fillId="3" borderId="0" xfId="0" applyFont="1" applyFill="1" applyBorder="1" applyAlignment="1">
      <alignment horizontal="center"/>
    </xf>
    <xf numFmtId="0" fontId="0" fillId="3" borderId="0" xfId="0" applyFill="1" applyAlignment="1">
      <alignment horizontal="center"/>
    </xf>
    <xf numFmtId="0" fontId="31" fillId="2" borderId="0" xfId="0" applyFont="1" applyFill="1" applyAlignment="1">
      <alignment vertical="center"/>
    </xf>
    <xf numFmtId="0" fontId="31" fillId="2" borderId="0" xfId="0" applyFont="1" applyFill="1" applyAlignment="1" applyProtection="1">
      <alignment/>
      <protection locked="0"/>
    </xf>
    <xf numFmtId="0" fontId="1" fillId="2" borderId="0" xfId="0" applyFont="1" applyFill="1" applyAlignment="1">
      <alignment horizontal="left"/>
    </xf>
    <xf numFmtId="0" fontId="0" fillId="2" borderId="0" xfId="0" applyFont="1" applyFill="1" applyAlignment="1">
      <alignment horizontal="right"/>
    </xf>
    <xf numFmtId="0" fontId="0" fillId="2" borderId="0" xfId="0" applyFill="1" applyAlignment="1">
      <alignment horizontal="right"/>
    </xf>
    <xf numFmtId="0" fontId="0" fillId="2" borderId="0" xfId="0" applyFill="1" applyAlignment="1">
      <alignment horizontal="left"/>
    </xf>
    <xf numFmtId="0" fontId="1" fillId="2" borderId="0" xfId="0" applyFont="1" applyFill="1" applyAlignment="1" applyProtection="1">
      <alignment horizontal="left"/>
      <protection locked="0"/>
    </xf>
    <xf numFmtId="0" fontId="31" fillId="2" borderId="0" xfId="0" applyFont="1" applyFill="1" applyBorder="1" applyAlignment="1">
      <alignment vertical="center"/>
    </xf>
    <xf numFmtId="0" fontId="1" fillId="2" borderId="14" xfId="0" applyFont="1" applyFill="1" applyBorder="1" applyAlignment="1">
      <alignment horizontal="left"/>
    </xf>
    <xf numFmtId="0" fontId="1" fillId="2" borderId="40" xfId="0" applyFont="1" applyFill="1" applyBorder="1" applyAlignment="1">
      <alignment horizontal="left"/>
    </xf>
    <xf numFmtId="0" fontId="1" fillId="2" borderId="14" xfId="0" applyFont="1" applyFill="1" applyBorder="1" applyAlignment="1">
      <alignment/>
    </xf>
    <xf numFmtId="0" fontId="0" fillId="2" borderId="41" xfId="0" applyFill="1" applyBorder="1" applyAlignment="1">
      <alignment horizontal="center"/>
    </xf>
    <xf numFmtId="0" fontId="0" fillId="2" borderId="42" xfId="0" applyFill="1" applyBorder="1" applyAlignment="1">
      <alignment horizontal="center"/>
    </xf>
    <xf numFmtId="0" fontId="1" fillId="2" borderId="43" xfId="0" applyFont="1" applyFill="1" applyBorder="1" applyAlignment="1">
      <alignment horizontal="center"/>
    </xf>
    <xf numFmtId="0" fontId="1" fillId="2" borderId="44" xfId="0" applyFont="1" applyFill="1" applyBorder="1" applyAlignment="1">
      <alignment horizontal="center"/>
    </xf>
    <xf numFmtId="0" fontId="1" fillId="2" borderId="45" xfId="0" applyFont="1" applyFill="1" applyBorder="1" applyAlignment="1">
      <alignment horizontal="center"/>
    </xf>
    <xf numFmtId="0" fontId="1" fillId="2" borderId="46" xfId="0" applyFont="1" applyFill="1" applyBorder="1" applyAlignment="1">
      <alignment horizontal="center"/>
    </xf>
    <xf numFmtId="0" fontId="0" fillId="2" borderId="47" xfId="0" applyFill="1" applyBorder="1" applyAlignment="1" applyProtection="1">
      <alignment horizontal="center" vertical="center" wrapText="1"/>
      <protection locked="0"/>
    </xf>
    <xf numFmtId="0" fontId="0" fillId="2" borderId="48" xfId="0" applyFill="1" applyBorder="1" applyAlignment="1" applyProtection="1">
      <alignment horizontal="center" vertical="center" wrapText="1"/>
      <protection locked="0"/>
    </xf>
    <xf numFmtId="0" fontId="0" fillId="2" borderId="49" xfId="0" applyFill="1" applyBorder="1" applyAlignment="1" applyProtection="1">
      <alignment horizontal="center" vertical="center" wrapText="1"/>
      <protection locked="0"/>
    </xf>
    <xf numFmtId="0" fontId="0" fillId="2" borderId="50" xfId="0" applyFill="1" applyBorder="1" applyAlignment="1" applyProtection="1">
      <alignment horizontal="center" vertical="center" wrapText="1"/>
      <protection locked="0"/>
    </xf>
    <xf numFmtId="0" fontId="0" fillId="2" borderId="40" xfId="0" applyFill="1" applyBorder="1" applyAlignment="1" applyProtection="1">
      <alignment horizontal="center" vertical="center" wrapText="1"/>
      <protection locked="0"/>
    </xf>
    <xf numFmtId="0" fontId="0" fillId="5" borderId="51" xfId="0" applyFill="1" applyBorder="1" applyAlignment="1" applyProtection="1">
      <alignment horizontal="center" vertical="center" wrapText="1"/>
      <protection locked="0"/>
    </xf>
    <xf numFmtId="0" fontId="0" fillId="5" borderId="52" xfId="0" applyFill="1" applyBorder="1" applyAlignment="1" applyProtection="1">
      <alignment horizontal="center" vertical="center" wrapText="1"/>
      <protection locked="0"/>
    </xf>
    <xf numFmtId="0" fontId="0" fillId="5" borderId="53" xfId="0" applyFill="1" applyBorder="1" applyAlignment="1" applyProtection="1">
      <alignment horizontal="center" vertical="center" wrapText="1"/>
      <protection locked="0"/>
    </xf>
    <xf numFmtId="0" fontId="0" fillId="5" borderId="54"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0" fillId="2" borderId="51" xfId="0" applyFill="1" applyBorder="1" applyAlignment="1" applyProtection="1">
      <alignment horizontal="center" vertical="center" wrapText="1"/>
      <protection locked="0"/>
    </xf>
    <xf numFmtId="0" fontId="0" fillId="2" borderId="52" xfId="0" applyFill="1" applyBorder="1" applyAlignment="1" applyProtection="1">
      <alignment horizontal="center" vertical="center" wrapText="1"/>
      <protection locked="0"/>
    </xf>
    <xf numFmtId="0" fontId="0" fillId="2" borderId="53" xfId="0" applyFill="1" applyBorder="1" applyAlignment="1" applyProtection="1">
      <alignment horizontal="center" vertical="center" wrapText="1"/>
      <protection locked="0"/>
    </xf>
    <xf numFmtId="0" fontId="0" fillId="2" borderId="54"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43" xfId="0" applyFill="1" applyBorder="1" applyAlignment="1" applyProtection="1">
      <alignment horizontal="center" vertical="center" wrapText="1"/>
      <protection locked="0"/>
    </xf>
    <xf numFmtId="0" fontId="0" fillId="2" borderId="44" xfId="0" applyFill="1" applyBorder="1" applyAlignment="1" applyProtection="1">
      <alignment horizontal="center" vertical="center" wrapText="1"/>
      <protection locked="0"/>
    </xf>
    <xf numFmtId="0" fontId="0" fillId="2" borderId="45" xfId="0" applyFill="1" applyBorder="1" applyAlignment="1" applyProtection="1">
      <alignment horizontal="center" vertical="center" wrapText="1"/>
      <protection locked="0"/>
    </xf>
    <xf numFmtId="0" fontId="0" fillId="2" borderId="46"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27" fillId="2" borderId="0" xfId="0" applyFont="1" applyFill="1" applyAlignment="1">
      <alignment/>
    </xf>
    <xf numFmtId="0" fontId="20" fillId="2" borderId="0" xfId="0" applyFont="1" applyFill="1" applyAlignment="1">
      <alignment/>
    </xf>
    <xf numFmtId="0" fontId="20" fillId="2" borderId="0" xfId="0" applyFont="1" applyFill="1" applyAlignment="1">
      <alignment vertical="center" wrapText="1"/>
    </xf>
    <xf numFmtId="0" fontId="0" fillId="2" borderId="55" xfId="0" applyFill="1" applyBorder="1" applyAlignment="1">
      <alignment vertical="center" wrapText="1"/>
    </xf>
    <xf numFmtId="0" fontId="0" fillId="2" borderId="56" xfId="0" applyFill="1" applyBorder="1" applyAlignment="1">
      <alignment vertical="center" wrapText="1"/>
    </xf>
    <xf numFmtId="0" fontId="18" fillId="12" borderId="21" xfId="0" applyFont="1" applyFill="1" applyBorder="1" applyAlignment="1">
      <alignment vertical="center" wrapText="1"/>
    </xf>
    <xf numFmtId="0" fontId="18" fillId="12" borderId="1" xfId="0" applyFont="1" applyFill="1" applyBorder="1" applyAlignment="1">
      <alignment vertical="center" wrapText="1"/>
    </xf>
    <xf numFmtId="0" fontId="1" fillId="2" borderId="57" xfId="0" applyFont="1" applyFill="1" applyBorder="1" applyAlignment="1">
      <alignment horizontal="center" vertical="center" wrapText="1"/>
    </xf>
    <xf numFmtId="0" fontId="0" fillId="2" borderId="58" xfId="0" applyFill="1" applyBorder="1" applyAlignment="1">
      <alignment horizontal="left" vertical="center" wrapText="1"/>
    </xf>
    <xf numFmtId="0" fontId="1" fillId="2" borderId="5" xfId="0" applyFont="1" applyFill="1" applyBorder="1" applyAlignment="1">
      <alignment horizontal="center" vertical="center" wrapText="1"/>
    </xf>
    <xf numFmtId="0" fontId="0" fillId="2" borderId="59" xfId="0" applyFill="1" applyBorder="1" applyAlignment="1">
      <alignment horizontal="left" vertical="center" wrapText="1"/>
    </xf>
    <xf numFmtId="0" fontId="18" fillId="12" borderId="8" xfId="0" applyFont="1" applyFill="1" applyBorder="1" applyAlignment="1">
      <alignment horizontal="center" vertical="center" wrapText="1"/>
    </xf>
    <xf numFmtId="0" fontId="21" fillId="3" borderId="14" xfId="0" applyFont="1" applyFill="1" applyBorder="1" applyAlignment="1" applyProtection="1">
      <alignment horizontal="center" wrapText="1"/>
      <protection locked="0"/>
    </xf>
    <xf numFmtId="0" fontId="21" fillId="3" borderId="14" xfId="0" applyFont="1" applyFill="1" applyBorder="1" applyAlignment="1" applyProtection="1">
      <alignment horizontal="center"/>
      <protection locked="0"/>
    </xf>
    <xf numFmtId="0" fontId="1" fillId="4" borderId="3" xfId="0" applyFont="1" applyFill="1" applyBorder="1" applyAlignment="1">
      <alignment horizontal="right"/>
    </xf>
    <xf numFmtId="0" fontId="1" fillId="4" borderId="3" xfId="0" applyNumberFormat="1" applyFont="1" applyFill="1" applyBorder="1" applyAlignment="1" applyProtection="1">
      <alignment horizontal="right"/>
      <protection locked="0"/>
    </xf>
    <xf numFmtId="0" fontId="0" fillId="2" borderId="60" xfId="0" applyFill="1" applyBorder="1" applyAlignment="1">
      <alignment horizontal="center" vertical="center"/>
    </xf>
    <xf numFmtId="0" fontId="0" fillId="2" borderId="0" xfId="0" applyFill="1" applyAlignment="1">
      <alignment horizontal="center" vertical="center" wrapText="1"/>
    </xf>
    <xf numFmtId="0" fontId="21" fillId="2" borderId="0" xfId="0" applyFont="1" applyFill="1" applyAlignment="1">
      <alignment/>
    </xf>
    <xf numFmtId="0" fontId="0" fillId="10" borderId="61" xfId="0" applyFill="1" applyBorder="1" applyAlignment="1" applyProtection="1">
      <alignment horizontal="center" vertical="center" wrapText="1"/>
      <protection locked="0"/>
    </xf>
    <xf numFmtId="0" fontId="0" fillId="10" borderId="20" xfId="0" applyFill="1" applyBorder="1" applyAlignment="1" applyProtection="1">
      <alignment horizontal="left" vertical="center" wrapText="1"/>
      <protection locked="0"/>
    </xf>
    <xf numFmtId="0" fontId="13" fillId="3" borderId="21" xfId="0" applyFont="1" applyFill="1" applyBorder="1" applyAlignment="1" applyProtection="1">
      <alignment horizontal="center"/>
      <protection locked="0"/>
    </xf>
    <xf numFmtId="0" fontId="0" fillId="0" borderId="1" xfId="0" applyBorder="1" applyAlignment="1">
      <alignment horizontal="center"/>
    </xf>
    <xf numFmtId="0" fontId="0" fillId="10" borderId="20" xfId="0" applyFill="1" applyBorder="1" applyAlignment="1" applyProtection="1">
      <alignment horizontal="center" vertical="center" wrapText="1"/>
      <protection locked="0"/>
    </xf>
    <xf numFmtId="0" fontId="0" fillId="10" borderId="20" xfId="0" applyFill="1" applyBorder="1" applyAlignment="1">
      <alignment horizontal="center" vertical="center" wrapText="1"/>
    </xf>
    <xf numFmtId="0" fontId="0" fillId="5" borderId="2" xfId="0" applyFill="1" applyBorder="1" applyAlignment="1">
      <alignment horizontal="center" vertical="center" wrapText="1"/>
    </xf>
    <xf numFmtId="0" fontId="0" fillId="2" borderId="2" xfId="0" applyFill="1" applyBorder="1" applyAlignment="1">
      <alignment horizontal="center" vertical="center" wrapText="1"/>
    </xf>
    <xf numFmtId="0" fontId="0" fillId="2" borderId="9" xfId="0" applyFill="1" applyBorder="1" applyAlignment="1">
      <alignment horizontal="center" vertical="center" wrapText="1"/>
    </xf>
    <xf numFmtId="0" fontId="21" fillId="2" borderId="61" xfId="0" applyFont="1" applyFill="1" applyBorder="1" applyAlignment="1">
      <alignment horizontal="center" vertical="center" wrapText="1"/>
    </xf>
    <xf numFmtId="0" fontId="21" fillId="10" borderId="61" xfId="0" applyFont="1" applyFill="1" applyBorder="1" applyAlignment="1">
      <alignment horizontal="center" vertical="center" wrapText="1"/>
    </xf>
    <xf numFmtId="0" fontId="0" fillId="10" borderId="40" xfId="0" applyFill="1" applyBorder="1" applyAlignment="1">
      <alignment horizontal="right" vertical="center" wrapText="1"/>
    </xf>
    <xf numFmtId="0" fontId="10" fillId="2" borderId="40" xfId="0" applyFont="1" applyFill="1" applyBorder="1" applyAlignment="1" applyProtection="1">
      <alignment horizontal="left" vertical="center" wrapText="1"/>
      <protection locked="0"/>
    </xf>
    <xf numFmtId="0" fontId="10" fillId="10" borderId="40" xfId="0" applyFont="1" applyFill="1" applyBorder="1" applyAlignment="1" applyProtection="1">
      <alignment horizontal="left" vertical="center" wrapText="1"/>
      <protection locked="0"/>
    </xf>
    <xf numFmtId="0" fontId="10" fillId="5" borderId="3"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0" fillId="5" borderId="2" xfId="0" applyFill="1" applyBorder="1" applyAlignment="1" applyProtection="1">
      <alignment horizontal="center" vertical="center" wrapText="1" shrinkToFit="1"/>
      <protection locked="0"/>
    </xf>
    <xf numFmtId="0" fontId="0" fillId="5" borderId="51" xfId="0" applyFill="1" applyBorder="1" applyAlignment="1" applyProtection="1">
      <alignment horizontal="center" vertical="center" wrapText="1" shrinkToFit="1"/>
      <protection locked="0"/>
    </xf>
    <xf numFmtId="0" fontId="0" fillId="5" borderId="52" xfId="0" applyFill="1" applyBorder="1" applyAlignment="1" applyProtection="1">
      <alignment horizontal="center" vertical="center" wrapText="1" shrinkToFit="1"/>
      <protection locked="0"/>
    </xf>
    <xf numFmtId="0" fontId="0" fillId="5" borderId="53" xfId="0" applyFill="1" applyBorder="1" applyAlignment="1" applyProtection="1">
      <alignment horizontal="center" vertical="center" wrapText="1" shrinkToFit="1"/>
      <protection locked="0"/>
    </xf>
    <xf numFmtId="0" fontId="0" fillId="5" borderId="54" xfId="0" applyFill="1" applyBorder="1" applyAlignment="1" applyProtection="1">
      <alignment horizontal="center" vertical="center" wrapText="1" shrinkToFit="1"/>
      <protection locked="0"/>
    </xf>
    <xf numFmtId="0" fontId="0" fillId="5" borderId="3" xfId="0" applyFill="1" applyBorder="1" applyAlignment="1" applyProtection="1">
      <alignment horizontal="center" vertical="center" wrapText="1" shrinkToFit="1"/>
      <protection locked="0"/>
    </xf>
    <xf numFmtId="0" fontId="0" fillId="2" borderId="0" xfId="0" applyFill="1" applyAlignment="1" applyProtection="1">
      <alignment vertical="center" wrapText="1" shrinkToFit="1"/>
      <protection locked="0"/>
    </xf>
    <xf numFmtId="0" fontId="0" fillId="0" borderId="0" xfId="0" applyAlignment="1" applyProtection="1">
      <alignment vertical="center" wrapText="1" shrinkToFit="1"/>
      <protection locked="0"/>
    </xf>
    <xf numFmtId="0" fontId="6" fillId="2" borderId="21" xfId="0" applyFont="1" applyFill="1" applyBorder="1" applyAlignment="1">
      <alignment horizontal="center" vertical="center" wrapText="1"/>
    </xf>
    <xf numFmtId="0" fontId="6" fillId="2" borderId="0" xfId="0" applyFont="1" applyFill="1" applyAlignment="1">
      <alignment horizontal="center" vertical="center" wrapText="1"/>
    </xf>
    <xf numFmtId="0" fontId="27" fillId="2" borderId="0" xfId="0" applyFont="1" applyFill="1" applyAlignment="1">
      <alignment/>
    </xf>
    <xf numFmtId="0" fontId="30" fillId="0" borderId="0" xfId="0" applyFont="1" applyAlignment="1">
      <alignment/>
    </xf>
    <xf numFmtId="0" fontId="6"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27" fillId="2" borderId="0" xfId="0" applyFont="1" applyFill="1" applyAlignment="1" applyProtection="1">
      <alignment/>
      <protection locked="0"/>
    </xf>
    <xf numFmtId="0" fontId="37" fillId="2" borderId="0" xfId="0" applyFont="1" applyFill="1" applyAlignment="1">
      <alignment horizontal="center" vertical="center" wrapText="1"/>
    </xf>
    <xf numFmtId="0" fontId="10" fillId="2" borderId="0" xfId="0" applyFont="1" applyFill="1" applyAlignment="1">
      <alignment wrapText="1"/>
    </xf>
    <xf numFmtId="0" fontId="31" fillId="2" borderId="0" xfId="0" applyFont="1" applyFill="1" applyAlignment="1">
      <alignment/>
    </xf>
    <xf numFmtId="0" fontId="27" fillId="2" borderId="0" xfId="0" applyFont="1" applyFill="1" applyAlignment="1">
      <alignment horizontal="left"/>
    </xf>
    <xf numFmtId="0" fontId="0" fillId="2" borderId="0" xfId="0" applyFill="1" applyAlignment="1">
      <alignment/>
    </xf>
    <xf numFmtId="0" fontId="21" fillId="2" borderId="0" xfId="0" applyFont="1" applyFill="1" applyBorder="1" applyAlignment="1">
      <alignment horizontal="center"/>
    </xf>
    <xf numFmtId="0" fontId="28" fillId="2" borderId="0" xfId="0" applyFont="1" applyFill="1" applyBorder="1" applyAlignment="1">
      <alignment horizontal="center" vertical="center" wrapText="1" shrinkToFit="1"/>
    </xf>
    <xf numFmtId="0" fontId="0" fillId="3" borderId="21" xfId="0" applyFill="1" applyBorder="1" applyAlignment="1" applyProtection="1">
      <alignment/>
      <protection locked="0"/>
    </xf>
    <xf numFmtId="0" fontId="0" fillId="0" borderId="1" xfId="0" applyBorder="1" applyAlignment="1">
      <alignment/>
    </xf>
    <xf numFmtId="0" fontId="0" fillId="3" borderId="0" xfId="0" applyFill="1" applyBorder="1" applyAlignment="1" applyProtection="1">
      <alignment/>
      <protection locked="0"/>
    </xf>
    <xf numFmtId="0" fontId="0" fillId="0" borderId="3" xfId="0" applyBorder="1" applyAlignment="1">
      <alignment/>
    </xf>
    <xf numFmtId="1" fontId="1" fillId="2" borderId="19" xfId="0" applyNumberFormat="1" applyFont="1" applyFill="1" applyBorder="1" applyAlignment="1">
      <alignment/>
    </xf>
    <xf numFmtId="0" fontId="0" fillId="0" borderId="4" xfId="0" applyBorder="1" applyAlignment="1">
      <alignment/>
    </xf>
    <xf numFmtId="0" fontId="21" fillId="2" borderId="2" xfId="0" applyFont="1" applyFill="1" applyBorder="1" applyAlignment="1">
      <alignment horizontal="center"/>
    </xf>
    <xf numFmtId="0" fontId="21" fillId="2" borderId="62" xfId="0" applyFont="1" applyFill="1" applyBorder="1" applyAlignment="1">
      <alignment horizontal="center"/>
    </xf>
    <xf numFmtId="0" fontId="14" fillId="2" borderId="63" xfId="0" applyFont="1" applyFill="1" applyBorder="1" applyAlignment="1" applyProtection="1">
      <alignment vertical="center" wrapText="1"/>
      <protection locked="0"/>
    </xf>
    <xf numFmtId="0" fontId="14" fillId="2" borderId="64" xfId="0" applyFont="1" applyFill="1" applyBorder="1" applyAlignment="1" applyProtection="1">
      <alignment vertical="center" wrapText="1"/>
      <protection locked="0"/>
    </xf>
    <xf numFmtId="0" fontId="14" fillId="2" borderId="41" xfId="0" applyFont="1" applyFill="1" applyBorder="1" applyAlignment="1" applyProtection="1">
      <alignment vertical="center" wrapText="1"/>
      <protection locked="0"/>
    </xf>
    <xf numFmtId="0" fontId="23" fillId="2" borderId="0" xfId="0" applyFont="1" applyFill="1" applyBorder="1" applyAlignment="1">
      <alignment horizontal="right" vertical="center" wrapText="1"/>
    </xf>
    <xf numFmtId="0" fontId="23" fillId="2" borderId="0" xfId="0" applyFont="1" applyFill="1" applyBorder="1" applyAlignment="1">
      <alignment horizontal="left" vertical="center" wrapText="1"/>
    </xf>
    <xf numFmtId="0" fontId="8" fillId="2" borderId="2" xfId="0" applyFont="1" applyFill="1" applyBorder="1" applyAlignment="1">
      <alignment horizontal="center"/>
    </xf>
    <xf numFmtId="0" fontId="8" fillId="2" borderId="0" xfId="0" applyFont="1" applyFill="1" applyBorder="1" applyAlignment="1">
      <alignment horizontal="center"/>
    </xf>
    <xf numFmtId="0" fontId="24" fillId="2" borderId="0" xfId="0" applyFont="1" applyFill="1" applyAlignment="1">
      <alignment horizontal="center" vertical="center"/>
    </xf>
    <xf numFmtId="0" fontId="0" fillId="2" borderId="0" xfId="0" applyFill="1" applyAlignment="1">
      <alignment vertical="center" wrapText="1"/>
    </xf>
    <xf numFmtId="0" fontId="0" fillId="10" borderId="20" xfId="0" applyFill="1" applyBorder="1" applyAlignment="1">
      <alignment horizontal="center" vertical="center" wrapText="1"/>
    </xf>
    <xf numFmtId="0" fontId="0" fillId="10" borderId="20" xfId="0" applyFill="1" applyBorder="1" applyAlignment="1">
      <alignment vertical="center" wrapText="1"/>
    </xf>
    <xf numFmtId="0" fontId="0" fillId="10" borderId="20" xfId="0" applyFill="1" applyBorder="1" applyAlignment="1" applyProtection="1">
      <alignment horizontal="center" vertical="center" wrapText="1"/>
      <protection locked="0"/>
    </xf>
    <xf numFmtId="0" fontId="0" fillId="10" borderId="40" xfId="0" applyFill="1" applyBorder="1" applyAlignment="1">
      <alignment vertical="center" wrapText="1"/>
    </xf>
    <xf numFmtId="0" fontId="30" fillId="2" borderId="0" xfId="0" applyFont="1" applyFill="1" applyAlignment="1">
      <alignment horizontal="left" vertical="center"/>
    </xf>
    <xf numFmtId="0" fontId="0" fillId="0" borderId="0" xfId="0" applyAlignment="1">
      <alignment horizontal="left"/>
    </xf>
    <xf numFmtId="0" fontId="0" fillId="2" borderId="63" xfId="0" applyFill="1" applyBorder="1" applyAlignment="1">
      <alignment horizontal="center" vertical="center"/>
    </xf>
    <xf numFmtId="0" fontId="0" fillId="2" borderId="60" xfId="0" applyFill="1" applyBorder="1" applyAlignment="1">
      <alignment horizontal="center" vertical="center"/>
    </xf>
    <xf numFmtId="0" fontId="0" fillId="2" borderId="65"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0" fillId="2" borderId="4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31" fillId="2" borderId="0" xfId="0" applyFont="1" applyFill="1" applyAlignment="1">
      <alignment vertical="center"/>
    </xf>
    <xf numFmtId="0" fontId="0" fillId="2" borderId="39" xfId="0" applyFill="1" applyBorder="1" applyAlignment="1">
      <alignment horizontal="center" vertical="center"/>
    </xf>
    <xf numFmtId="0" fontId="0" fillId="2" borderId="13" xfId="0" applyFill="1" applyBorder="1" applyAlignment="1">
      <alignment horizontal="center" vertical="center"/>
    </xf>
    <xf numFmtId="0" fontId="0" fillId="2" borderId="36" xfId="0" applyFill="1" applyBorder="1" applyAlignment="1">
      <alignment horizontal="center" vertical="center"/>
    </xf>
    <xf numFmtId="0" fontId="1" fillId="2" borderId="8" xfId="0" applyFont="1" applyFill="1" applyBorder="1" applyAlignment="1">
      <alignment/>
    </xf>
    <xf numFmtId="0" fontId="1" fillId="2" borderId="21" xfId="0" applyFont="1" applyFill="1" applyBorder="1" applyAlignment="1">
      <alignment/>
    </xf>
    <xf numFmtId="0" fontId="1" fillId="2" borderId="1" xfId="0" applyFont="1" applyFill="1" applyBorder="1" applyAlignment="1">
      <alignment/>
    </xf>
    <xf numFmtId="0" fontId="1" fillId="2" borderId="8" xfId="0" applyFont="1" applyFill="1" applyBorder="1" applyAlignment="1">
      <alignment horizontal="left"/>
    </xf>
    <xf numFmtId="0" fontId="1" fillId="2" borderId="21" xfId="0" applyFont="1" applyFill="1" applyBorder="1" applyAlignment="1">
      <alignment horizontal="left"/>
    </xf>
    <xf numFmtId="0" fontId="1" fillId="2" borderId="1" xfId="0" applyFont="1" applyFill="1" applyBorder="1" applyAlignment="1">
      <alignment horizontal="left"/>
    </xf>
    <xf numFmtId="0" fontId="34" fillId="2" borderId="0" xfId="0" applyFont="1" applyFill="1" applyBorder="1" applyAlignment="1">
      <alignment horizontal="left" vertical="center" wrapText="1"/>
    </xf>
    <xf numFmtId="0" fontId="10" fillId="2" borderId="39" xfId="0" applyFont="1" applyFill="1" applyBorder="1" applyAlignment="1">
      <alignment horizontal="center" vertical="center" textRotation="90" wrapText="1"/>
    </xf>
    <xf numFmtId="0" fontId="10" fillId="0" borderId="13" xfId="0" applyFont="1" applyBorder="1" applyAlignment="1">
      <alignment horizontal="center" vertical="center" textRotation="90" wrapText="1"/>
    </xf>
    <xf numFmtId="0" fontId="10" fillId="0" borderId="36" xfId="0" applyFont="1" applyBorder="1" applyAlignment="1">
      <alignment horizontal="center" vertical="center" textRotation="90" wrapText="1"/>
    </xf>
    <xf numFmtId="0" fontId="10" fillId="2" borderId="1" xfId="0" applyFont="1" applyFill="1" applyBorder="1" applyAlignment="1">
      <alignment horizontal="center" vertical="center" textRotation="90" wrapText="1"/>
    </xf>
    <xf numFmtId="0" fontId="10" fillId="0" borderId="3" xfId="0" applyFont="1" applyBorder="1" applyAlignment="1">
      <alignment horizontal="center" vertical="center" textRotation="90" wrapText="1"/>
    </xf>
    <xf numFmtId="0" fontId="10" fillId="0" borderId="4" xfId="0" applyFont="1" applyBorder="1" applyAlignment="1">
      <alignment horizontal="center" vertical="center" textRotation="90" wrapText="1"/>
    </xf>
    <xf numFmtId="0" fontId="33" fillId="0" borderId="0" xfId="0" applyFont="1" applyAlignment="1">
      <alignment/>
    </xf>
    <xf numFmtId="0" fontId="20" fillId="0" borderId="0" xfId="0" applyFont="1" applyFill="1" applyAlignment="1">
      <alignment/>
    </xf>
    <xf numFmtId="0" fontId="2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ill>
        <patternFill>
          <bgColor rgb="FFFF0000"/>
        </patternFill>
      </fill>
      <border/>
    </dxf>
    <dxf>
      <border/>
    </dxf>
    <dxf>
      <font>
        <b/>
        <i val="0"/>
        <color rgb="FFFFFFFF"/>
      </font>
      <fill>
        <patternFill>
          <bgColor rgb="FFFF0000"/>
        </patternFill>
      </fill>
      <border/>
    </dxf>
    <dxf>
      <font>
        <b/>
        <i val="0"/>
      </font>
      <fill>
        <patternFill>
          <bgColor rgb="FFFF0000"/>
        </patternFill>
      </fill>
      <border/>
    </dxf>
    <dxf>
      <fill>
        <patternFill>
          <bgColor rgb="FFFF0000"/>
        </patternFill>
      </fill>
      <border>
        <left style="thin">
          <color rgb="FF000000"/>
        </left>
        <right>
          <color rgb="FF000000"/>
        </right>
        <top style="thin"/>
        <bottom style="thin">
          <color rgb="FF000000"/>
        </bottom>
      </border>
    </dxf>
    <dxf>
      <font>
        <color rgb="FFFFFFFF"/>
      </font>
      <border/>
    </dxf>
    <dxf>
      <font>
        <b/>
        <i val="0"/>
        <color rgb="FFFF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 Id="rId3" Type="http://schemas.openxmlformats.org/officeDocument/2006/relationships/image" Target="../media/image10.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bmp" /><Relationship Id="rId2" Type="http://schemas.openxmlformats.org/officeDocument/2006/relationships/image" Target="../media/image4.bmp" /><Relationship Id="rId3" Type="http://schemas.openxmlformats.org/officeDocument/2006/relationships/image" Target="../media/image10.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0.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28575</xdr:rowOff>
    </xdr:from>
    <xdr:to>
      <xdr:col>4</xdr:col>
      <xdr:colOff>47625</xdr:colOff>
      <xdr:row>7</xdr:row>
      <xdr:rowOff>95250</xdr:rowOff>
    </xdr:to>
    <xdr:sp>
      <xdr:nvSpPr>
        <xdr:cNvPr id="1" name="TextBox 1"/>
        <xdr:cNvSpPr txBox="1">
          <a:spLocks noChangeArrowheads="1"/>
        </xdr:cNvSpPr>
      </xdr:nvSpPr>
      <xdr:spPr>
        <a:xfrm>
          <a:off x="47625" y="361950"/>
          <a:ext cx="5181600"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Sigma II Parameter Calculator
</a:t>
          </a:r>
          <a:r>
            <a:rPr lang="en-US" cap="none" sz="1000" b="1" i="0" u="none" baseline="0">
              <a:solidFill>
                <a:srgbClr val="FF0000"/>
              </a:solidFill>
              <a:latin typeface="Arial"/>
              <a:ea typeface="Arial"/>
              <a:cs typeface="Arial"/>
            </a:rPr>
            <a:t>This utility uses Macros.  Please be sure macros are enabled, or the utility will not work.  (Answer "yes" when opening the file).</a:t>
          </a:r>
          <a:r>
            <a:rPr lang="en-US" cap="none" sz="1000" b="1" i="0" u="none" baseline="0">
              <a:latin typeface="Arial"/>
              <a:ea typeface="Arial"/>
              <a:cs typeface="Arial"/>
            </a:rPr>
            <a:t>
</a:t>
          </a:r>
          <a:r>
            <a:rPr lang="en-US" cap="none" sz="1000" b="1" i="0" u="none" baseline="0">
              <a:solidFill>
                <a:srgbClr val="0000FF"/>
              </a:solidFill>
              <a:latin typeface="Arial"/>
              <a:ea typeface="Arial"/>
              <a:cs typeface="Arial"/>
            </a:rPr>
            <a:t>To configure Macro Security:
Go to Tools/Macro/Security Level, and set to Medium</a:t>
          </a:r>
          <a:r>
            <a:rPr lang="en-US" cap="none" sz="1000" b="1" i="0" u="none" baseline="0">
              <a:latin typeface="Arial"/>
              <a:ea typeface="Arial"/>
              <a:cs typeface="Arial"/>
            </a:rPr>
            <a:t>
</a:t>
          </a:r>
        </a:p>
      </xdr:txBody>
    </xdr:sp>
    <xdr:clientData/>
  </xdr:twoCellAnchor>
  <xdr:twoCellAnchor>
    <xdr:from>
      <xdr:col>0</xdr:col>
      <xdr:colOff>28575</xdr:colOff>
      <xdr:row>22</xdr:row>
      <xdr:rowOff>114300</xdr:rowOff>
    </xdr:from>
    <xdr:to>
      <xdr:col>4</xdr:col>
      <xdr:colOff>28575</xdr:colOff>
      <xdr:row>30</xdr:row>
      <xdr:rowOff>76200</xdr:rowOff>
    </xdr:to>
    <xdr:sp>
      <xdr:nvSpPr>
        <xdr:cNvPr id="2" name="TextBox 3"/>
        <xdr:cNvSpPr txBox="1">
          <a:spLocks noChangeArrowheads="1"/>
        </xdr:cNvSpPr>
      </xdr:nvSpPr>
      <xdr:spPr>
        <a:xfrm>
          <a:off x="28575" y="5543550"/>
          <a:ext cx="518160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DISCLAIMER:   
</a:t>
          </a:r>
          <a:r>
            <a:rPr lang="en-US" cap="none" sz="1000" b="0" i="1" u="none" baseline="0">
              <a:latin typeface="Arial"/>
              <a:ea typeface="Arial"/>
              <a:cs typeface="Arial"/>
            </a:rPr>
            <a:t>This calculator is provided by Yaskawa Electric America Technical Training Services (TTS) to aid the user in setting parameters in the Sigma II amplifier.  Although TTS believes every calculation ito be correct, no guarantee to the user is implied.  The user is responsible to verify the parameter settings suggested in this calculator using the Sigma II User Manual (YEA-SIA-S800-32.2E).</a:t>
          </a:r>
          <a:r>
            <a:rPr lang="en-US" cap="none" sz="1000" b="0" i="0" u="none" baseline="0">
              <a:latin typeface="Arial"/>
              <a:ea typeface="Arial"/>
              <a:cs typeface="Arial"/>
            </a:rPr>
            <a:t>
Please report  bugs to </a:t>
          </a:r>
          <a:r>
            <a:rPr lang="en-US" cap="none" sz="1000" b="1" i="0" u="sng" baseline="0">
              <a:solidFill>
                <a:srgbClr val="0000FF"/>
              </a:solidFill>
              <a:latin typeface="Arial"/>
              <a:ea typeface="Arial"/>
              <a:cs typeface="Arial"/>
            </a:rPr>
            <a:t>Training@Yaskawa.com</a:t>
          </a:r>
        </a:p>
      </xdr:txBody>
    </xdr:sp>
    <xdr:clientData/>
  </xdr:twoCellAnchor>
  <xdr:twoCellAnchor editAs="oneCell">
    <xdr:from>
      <xdr:col>3</xdr:col>
      <xdr:colOff>19050</xdr:colOff>
      <xdr:row>0</xdr:row>
      <xdr:rowOff>47625</xdr:rowOff>
    </xdr:from>
    <xdr:to>
      <xdr:col>4</xdr:col>
      <xdr:colOff>47625</xdr:colOff>
      <xdr:row>1</xdr:row>
      <xdr:rowOff>19050</xdr:rowOff>
    </xdr:to>
    <xdr:pic>
      <xdr:nvPicPr>
        <xdr:cNvPr id="3" name="Picture 4"/>
        <xdr:cNvPicPr preferRelativeResize="1">
          <a:picLocks noChangeAspect="1"/>
        </xdr:cNvPicPr>
      </xdr:nvPicPr>
      <xdr:blipFill>
        <a:blip r:embed="rId1"/>
        <a:stretch>
          <a:fillRect/>
        </a:stretch>
      </xdr:blipFill>
      <xdr:spPr>
        <a:xfrm>
          <a:off x="3838575" y="47625"/>
          <a:ext cx="1390650" cy="304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6</xdr:col>
      <xdr:colOff>66675</xdr:colOff>
      <xdr:row>17</xdr:row>
      <xdr:rowOff>95250</xdr:rowOff>
    </xdr:to>
    <xdr:pic>
      <xdr:nvPicPr>
        <xdr:cNvPr id="1" name="Picture 1"/>
        <xdr:cNvPicPr preferRelativeResize="1">
          <a:picLocks noChangeAspect="1"/>
        </xdr:cNvPicPr>
      </xdr:nvPicPr>
      <xdr:blipFill>
        <a:blip r:embed="rId1"/>
        <a:stretch>
          <a:fillRect/>
        </a:stretch>
      </xdr:blipFill>
      <xdr:spPr>
        <a:xfrm>
          <a:off x="0" y="1200150"/>
          <a:ext cx="3724275" cy="1714500"/>
        </a:xfrm>
        <a:prstGeom prst="rect">
          <a:avLst/>
        </a:prstGeom>
        <a:noFill/>
        <a:ln w="9525" cmpd="sng">
          <a:noFill/>
        </a:ln>
      </xdr:spPr>
    </xdr:pic>
    <xdr:clientData/>
  </xdr:twoCellAnchor>
  <xdr:twoCellAnchor editAs="oneCell">
    <xdr:from>
      <xdr:col>0</xdr:col>
      <xdr:colOff>0</xdr:colOff>
      <xdr:row>23</xdr:row>
      <xdr:rowOff>0</xdr:rowOff>
    </xdr:from>
    <xdr:to>
      <xdr:col>6</xdr:col>
      <xdr:colOff>57150</xdr:colOff>
      <xdr:row>33</xdr:row>
      <xdr:rowOff>104775</xdr:rowOff>
    </xdr:to>
    <xdr:pic>
      <xdr:nvPicPr>
        <xdr:cNvPr id="2" name="Picture 2"/>
        <xdr:cNvPicPr preferRelativeResize="1">
          <a:picLocks noChangeAspect="1"/>
        </xdr:cNvPicPr>
      </xdr:nvPicPr>
      <xdr:blipFill>
        <a:blip r:embed="rId2"/>
        <a:stretch>
          <a:fillRect/>
        </a:stretch>
      </xdr:blipFill>
      <xdr:spPr>
        <a:xfrm>
          <a:off x="0" y="3790950"/>
          <a:ext cx="3714750" cy="1724025"/>
        </a:xfrm>
        <a:prstGeom prst="rect">
          <a:avLst/>
        </a:prstGeom>
        <a:noFill/>
        <a:ln w="9525" cmpd="sng">
          <a:noFill/>
        </a:ln>
      </xdr:spPr>
    </xdr:pic>
    <xdr:clientData/>
  </xdr:twoCellAnchor>
  <xdr:twoCellAnchor editAs="oneCell">
    <xdr:from>
      <xdr:col>4</xdr:col>
      <xdr:colOff>361950</xdr:colOff>
      <xdr:row>0</xdr:row>
      <xdr:rowOff>133350</xdr:rowOff>
    </xdr:from>
    <xdr:to>
      <xdr:col>7</xdr:col>
      <xdr:colOff>114300</xdr:colOff>
      <xdr:row>2</xdr:row>
      <xdr:rowOff>152400</xdr:rowOff>
    </xdr:to>
    <xdr:pic>
      <xdr:nvPicPr>
        <xdr:cNvPr id="3" name="Picture 4"/>
        <xdr:cNvPicPr preferRelativeResize="1">
          <a:picLocks noChangeAspect="1"/>
        </xdr:cNvPicPr>
      </xdr:nvPicPr>
      <xdr:blipFill>
        <a:blip r:embed="rId3"/>
        <a:stretch>
          <a:fillRect/>
        </a:stretch>
      </xdr:blipFill>
      <xdr:spPr>
        <a:xfrm>
          <a:off x="2800350" y="133350"/>
          <a:ext cx="1581150" cy="342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533400</xdr:colOff>
      <xdr:row>0</xdr:row>
      <xdr:rowOff>76200</xdr:rowOff>
    </xdr:from>
    <xdr:ext cx="4591050" cy="942975"/>
    <xdr:sp>
      <xdr:nvSpPr>
        <xdr:cNvPr id="1" name="TextBox 14"/>
        <xdr:cNvSpPr txBox="1">
          <a:spLocks noChangeArrowheads="1"/>
        </xdr:cNvSpPr>
      </xdr:nvSpPr>
      <xdr:spPr>
        <a:xfrm>
          <a:off x="4552950" y="76200"/>
          <a:ext cx="4591050" cy="942975"/>
        </a:xfrm>
        <a:prstGeom prst="rect">
          <a:avLst/>
        </a:prstGeom>
        <a:noFill/>
        <a:ln w="9525" cmpd="sng">
          <a:noFill/>
        </a:ln>
      </xdr:spPr>
      <xdr:txBody>
        <a:bodyPr vertOverflow="clip" wrap="square"/>
        <a:p>
          <a:pPr algn="r">
            <a:defRPr/>
          </a:pPr>
          <a:r>
            <a:rPr lang="en-US" cap="none" sz="1200" b="0" i="0" u="none" baseline="0">
              <a:latin typeface="Courier New"/>
              <a:ea typeface="Courier New"/>
              <a:cs typeface="Courier New"/>
            </a:rPr>
            <a:t>Date:___________________________________
</a:t>
          </a:r>
          <a:r>
            <a:rPr lang="en-US" cap="none" sz="600" b="0" i="0" u="none" baseline="0">
              <a:latin typeface="Courier New"/>
              <a:ea typeface="Courier New"/>
              <a:cs typeface="Courier New"/>
            </a:rPr>
            <a:t>
</a:t>
          </a:r>
          <a:r>
            <a:rPr lang="en-US" cap="none" sz="1200" b="0" i="0" u="none" baseline="0">
              <a:latin typeface="Courier New"/>
              <a:ea typeface="Courier New"/>
              <a:cs typeface="Courier New"/>
            </a:rPr>
            <a:t>Application:___________________________________</a:t>
          </a:r>
          <a:r>
            <a:rPr lang="en-US" cap="none" sz="600" b="0" i="0" u="none" baseline="0">
              <a:latin typeface="Courier New"/>
              <a:ea typeface="Courier New"/>
              <a:cs typeface="Courier New"/>
            </a:rPr>
            <a:t>
</a:t>
          </a:r>
          <a:r>
            <a:rPr lang="en-US" cap="none" sz="1200" b="0" i="0" u="none" baseline="0">
              <a:latin typeface="Courier New"/>
              <a:ea typeface="Courier New"/>
              <a:cs typeface="Courier New"/>
            </a:rPr>
            <a:t>Customer:___________________________________</a:t>
          </a:r>
        </a:p>
      </xdr:txBody>
    </xdr:sp>
    <xdr:clientData/>
  </xdr:oneCellAnchor>
  <xdr:twoCellAnchor>
    <xdr:from>
      <xdr:col>7</xdr:col>
      <xdr:colOff>428625</xdr:colOff>
      <xdr:row>3</xdr:row>
      <xdr:rowOff>104775</xdr:rowOff>
    </xdr:from>
    <xdr:to>
      <xdr:col>16</xdr:col>
      <xdr:colOff>1952625</xdr:colOff>
      <xdr:row>9</xdr:row>
      <xdr:rowOff>85725</xdr:rowOff>
    </xdr:to>
    <xdr:sp>
      <xdr:nvSpPr>
        <xdr:cNvPr id="2" name="TextBox 25"/>
        <xdr:cNvSpPr txBox="1">
          <a:spLocks noChangeArrowheads="1"/>
        </xdr:cNvSpPr>
      </xdr:nvSpPr>
      <xdr:spPr>
        <a:xfrm>
          <a:off x="4448175" y="1057275"/>
          <a:ext cx="5295900" cy="1104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Performance Specifications:</a:t>
          </a:r>
          <a:r>
            <a:rPr lang="en-US" cap="none" sz="1000" b="0" i="0" u="none" baseline="0">
              <a:latin typeface="Arial"/>
              <a:ea typeface="Arial"/>
              <a:cs typeface="Arial"/>
            </a:rPr>
            <a:t> </a:t>
          </a:r>
          <a:r>
            <a:rPr lang="en-US" cap="none" sz="1000" b="0" i="1" u="none" baseline="0">
              <a:latin typeface="Arial"/>
              <a:ea typeface="Arial"/>
              <a:cs typeface="Arial"/>
            </a:rPr>
            <a:t>(Example:  Position Settling time, In-Position Window, Max Position Error,  Speed Transition/Settling Time, At-Speed Window,  Speed Error, Speed Overshoot, Torque Ripple,</a:t>
          </a:r>
        </a:p>
      </xdr:txBody>
    </xdr:sp>
    <xdr:clientData/>
  </xdr:twoCellAnchor>
  <xdr:twoCellAnchor>
    <xdr:from>
      <xdr:col>2</xdr:col>
      <xdr:colOff>409575</xdr:colOff>
      <xdr:row>5</xdr:row>
      <xdr:rowOff>28575</xdr:rowOff>
    </xdr:from>
    <xdr:to>
      <xdr:col>2</xdr:col>
      <xdr:colOff>561975</xdr:colOff>
      <xdr:row>5</xdr:row>
      <xdr:rowOff>180975</xdr:rowOff>
    </xdr:to>
    <xdr:sp>
      <xdr:nvSpPr>
        <xdr:cNvPr id="3" name="Rectangle 3"/>
        <xdr:cNvSpPr>
          <a:spLocks/>
        </xdr:cNvSpPr>
      </xdr:nvSpPr>
      <xdr:spPr>
        <a:xfrm>
          <a:off x="1562100"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0</xdr:colOff>
      <xdr:row>5</xdr:row>
      <xdr:rowOff>28575</xdr:rowOff>
    </xdr:from>
    <xdr:to>
      <xdr:col>3</xdr:col>
      <xdr:colOff>152400</xdr:colOff>
      <xdr:row>5</xdr:row>
      <xdr:rowOff>180975</xdr:rowOff>
    </xdr:to>
    <xdr:sp>
      <xdr:nvSpPr>
        <xdr:cNvPr id="4" name="Rectangle 4"/>
        <xdr:cNvSpPr>
          <a:spLocks/>
        </xdr:cNvSpPr>
      </xdr:nvSpPr>
      <xdr:spPr>
        <a:xfrm>
          <a:off x="1762125"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xdr:col>
      <xdr:colOff>542925</xdr:colOff>
      <xdr:row>4</xdr:row>
      <xdr:rowOff>28575</xdr:rowOff>
    </xdr:from>
    <xdr:to>
      <xdr:col>4</xdr:col>
      <xdr:colOff>85725</xdr:colOff>
      <xdr:row>4</xdr:row>
      <xdr:rowOff>180975</xdr:rowOff>
    </xdr:to>
    <xdr:grpSp>
      <xdr:nvGrpSpPr>
        <xdr:cNvPr id="5" name="Group 29"/>
        <xdr:cNvGrpSpPr>
          <a:grpSpLocks/>
        </xdr:cNvGrpSpPr>
      </xdr:nvGrpSpPr>
      <xdr:grpSpPr>
        <a:xfrm>
          <a:off x="1695450" y="1143000"/>
          <a:ext cx="790575" cy="152400"/>
          <a:chOff x="178" y="120"/>
          <a:chExt cx="83" cy="16"/>
        </a:xfrm>
        <a:solidFill>
          <a:srgbClr val="FFFFFF"/>
        </a:solidFill>
      </xdr:grpSpPr>
      <xdr:sp>
        <xdr:nvSpPr>
          <xdr:cNvPr id="6" name="Rectangle 6"/>
          <xdr:cNvSpPr>
            <a:spLocks/>
          </xdr:cNvSpPr>
        </xdr:nvSpPr>
        <xdr:spPr>
          <a:xfrm>
            <a:off x="178" y="120"/>
            <a:ext cx="16"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199" y="120"/>
            <a:ext cx="16"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224" y="120"/>
            <a:ext cx="16"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245" y="120"/>
            <a:ext cx="16"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409575</xdr:colOff>
      <xdr:row>5</xdr:row>
      <xdr:rowOff>28575</xdr:rowOff>
    </xdr:from>
    <xdr:to>
      <xdr:col>3</xdr:col>
      <xdr:colOff>561975</xdr:colOff>
      <xdr:row>5</xdr:row>
      <xdr:rowOff>180975</xdr:rowOff>
    </xdr:to>
    <xdr:sp>
      <xdr:nvSpPr>
        <xdr:cNvPr id="10" name="Rectangle 12"/>
        <xdr:cNvSpPr>
          <a:spLocks/>
        </xdr:cNvSpPr>
      </xdr:nvSpPr>
      <xdr:spPr>
        <a:xfrm>
          <a:off x="2171700"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609600</xdr:colOff>
      <xdr:row>5</xdr:row>
      <xdr:rowOff>28575</xdr:rowOff>
    </xdr:from>
    <xdr:to>
      <xdr:col>4</xdr:col>
      <xdr:colOff>123825</xdr:colOff>
      <xdr:row>5</xdr:row>
      <xdr:rowOff>180975</xdr:rowOff>
    </xdr:to>
    <xdr:sp>
      <xdr:nvSpPr>
        <xdr:cNvPr id="11" name="Rectangle 13"/>
        <xdr:cNvSpPr>
          <a:spLocks/>
        </xdr:cNvSpPr>
      </xdr:nvSpPr>
      <xdr:spPr>
        <a:xfrm>
          <a:off x="2371725"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4</xdr:col>
      <xdr:colOff>180975</xdr:colOff>
      <xdr:row>5</xdr:row>
      <xdr:rowOff>28575</xdr:rowOff>
    </xdr:from>
    <xdr:to>
      <xdr:col>4</xdr:col>
      <xdr:colOff>333375</xdr:colOff>
      <xdr:row>5</xdr:row>
      <xdr:rowOff>180975</xdr:rowOff>
    </xdr:to>
    <xdr:sp>
      <xdr:nvSpPr>
        <xdr:cNvPr id="12" name="Rectangle 16"/>
        <xdr:cNvSpPr>
          <a:spLocks/>
        </xdr:cNvSpPr>
      </xdr:nvSpPr>
      <xdr:spPr>
        <a:xfrm>
          <a:off x="2581275"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4</xdr:col>
      <xdr:colOff>381000</xdr:colOff>
      <xdr:row>5</xdr:row>
      <xdr:rowOff>28575</xdr:rowOff>
    </xdr:from>
    <xdr:to>
      <xdr:col>5</xdr:col>
      <xdr:colOff>38100</xdr:colOff>
      <xdr:row>5</xdr:row>
      <xdr:rowOff>180975</xdr:rowOff>
    </xdr:to>
    <xdr:sp>
      <xdr:nvSpPr>
        <xdr:cNvPr id="13" name="Rectangle 17"/>
        <xdr:cNvSpPr>
          <a:spLocks/>
        </xdr:cNvSpPr>
      </xdr:nvSpPr>
      <xdr:spPr>
        <a:xfrm>
          <a:off x="2781300"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5</xdr:col>
      <xdr:colOff>95250</xdr:colOff>
      <xdr:row>5</xdr:row>
      <xdr:rowOff>28575</xdr:rowOff>
    </xdr:from>
    <xdr:to>
      <xdr:col>5</xdr:col>
      <xdr:colOff>247650</xdr:colOff>
      <xdr:row>5</xdr:row>
      <xdr:rowOff>180975</xdr:rowOff>
    </xdr:to>
    <xdr:sp>
      <xdr:nvSpPr>
        <xdr:cNvPr id="14" name="Rectangle 19"/>
        <xdr:cNvSpPr>
          <a:spLocks/>
        </xdr:cNvSpPr>
      </xdr:nvSpPr>
      <xdr:spPr>
        <a:xfrm>
          <a:off x="2990850"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5</xdr:col>
      <xdr:colOff>295275</xdr:colOff>
      <xdr:row>5</xdr:row>
      <xdr:rowOff>28575</xdr:rowOff>
    </xdr:from>
    <xdr:to>
      <xdr:col>5</xdr:col>
      <xdr:colOff>447675</xdr:colOff>
      <xdr:row>5</xdr:row>
      <xdr:rowOff>180975</xdr:rowOff>
    </xdr:to>
    <xdr:sp>
      <xdr:nvSpPr>
        <xdr:cNvPr id="15" name="Rectangle 20"/>
        <xdr:cNvSpPr>
          <a:spLocks/>
        </xdr:cNvSpPr>
      </xdr:nvSpPr>
      <xdr:spPr>
        <a:xfrm>
          <a:off x="3190875"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5</xdr:col>
      <xdr:colOff>504825</xdr:colOff>
      <xdr:row>5</xdr:row>
      <xdr:rowOff>28575</xdr:rowOff>
    </xdr:from>
    <xdr:to>
      <xdr:col>6</xdr:col>
      <xdr:colOff>85725</xdr:colOff>
      <xdr:row>5</xdr:row>
      <xdr:rowOff>180975</xdr:rowOff>
    </xdr:to>
    <xdr:sp>
      <xdr:nvSpPr>
        <xdr:cNvPr id="16" name="Rectangle 21"/>
        <xdr:cNvSpPr>
          <a:spLocks/>
        </xdr:cNvSpPr>
      </xdr:nvSpPr>
      <xdr:spPr>
        <a:xfrm>
          <a:off x="3400425"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xdr:col>
      <xdr:colOff>514350</xdr:colOff>
      <xdr:row>15</xdr:row>
      <xdr:rowOff>104775</xdr:rowOff>
    </xdr:from>
    <xdr:to>
      <xdr:col>3</xdr:col>
      <xdr:colOff>581025</xdr:colOff>
      <xdr:row>15</xdr:row>
      <xdr:rowOff>695325</xdr:rowOff>
    </xdr:to>
    <xdr:sp fLocksText="0">
      <xdr:nvSpPr>
        <xdr:cNvPr id="17" name="TextBox 24"/>
        <xdr:cNvSpPr txBox="1">
          <a:spLocks noChangeArrowheads="1"/>
        </xdr:cNvSpPr>
      </xdr:nvSpPr>
      <xdr:spPr>
        <a:xfrm>
          <a:off x="1666875" y="3257550"/>
          <a:ext cx="67627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6</xdr:col>
      <xdr:colOff>438150</xdr:colOff>
      <xdr:row>6</xdr:row>
      <xdr:rowOff>76200</xdr:rowOff>
    </xdr:from>
    <xdr:to>
      <xdr:col>16</xdr:col>
      <xdr:colOff>1371600</xdr:colOff>
      <xdr:row>9</xdr:row>
      <xdr:rowOff>57150</xdr:rowOff>
    </xdr:to>
    <xdr:sp fLocksText="0">
      <xdr:nvSpPr>
        <xdr:cNvPr id="18" name="TextBox 27"/>
        <xdr:cNvSpPr txBox="1">
          <a:spLocks noChangeArrowheads="1"/>
        </xdr:cNvSpPr>
      </xdr:nvSpPr>
      <xdr:spPr>
        <a:xfrm>
          <a:off x="3905250" y="1581150"/>
          <a:ext cx="5257800" cy="552450"/>
        </a:xfrm>
        <a:prstGeom prst="rect">
          <a:avLst/>
        </a:prstGeom>
        <a:noFill/>
        <a:ln w="9525" cmpd="sng">
          <a:noFill/>
        </a:ln>
      </xdr:spPr>
      <xdr:txBody>
        <a:bodyPr vertOverflow="clip" wrap="square"/>
        <a:p>
          <a:pPr algn="l">
            <a:defRPr/>
          </a:pPr>
          <a:r>
            <a:rPr lang="en-US" cap="none" sz="1000" b="0" i="0" u="none" baseline="0"/>
            <a:t>:</a:t>
          </a:r>
        </a:p>
      </xdr:txBody>
    </xdr:sp>
    <xdr:clientData/>
  </xdr:twoCellAnchor>
  <xdr:twoCellAnchor editAs="oneCell">
    <xdr:from>
      <xdr:col>0</xdr:col>
      <xdr:colOff>38100</xdr:colOff>
      <xdr:row>0</xdr:row>
      <xdr:rowOff>38100</xdr:rowOff>
    </xdr:from>
    <xdr:to>
      <xdr:col>2</xdr:col>
      <xdr:colOff>466725</xdr:colOff>
      <xdr:row>1</xdr:row>
      <xdr:rowOff>76200</xdr:rowOff>
    </xdr:to>
    <xdr:pic>
      <xdr:nvPicPr>
        <xdr:cNvPr id="19" name="Picture 32"/>
        <xdr:cNvPicPr preferRelativeResize="1">
          <a:picLocks noChangeAspect="1"/>
        </xdr:cNvPicPr>
      </xdr:nvPicPr>
      <xdr:blipFill>
        <a:blip r:embed="rId1"/>
        <a:stretch>
          <a:fillRect/>
        </a:stretch>
      </xdr:blipFill>
      <xdr:spPr>
        <a:xfrm>
          <a:off x="38100" y="38100"/>
          <a:ext cx="1581150" cy="342900"/>
        </a:xfrm>
        <a:prstGeom prst="rect">
          <a:avLst/>
        </a:prstGeom>
        <a:noFill/>
        <a:ln w="9525" cmpd="sng">
          <a:noFill/>
        </a:ln>
      </xdr:spPr>
    </xdr:pic>
    <xdr:clientData/>
  </xdr:twoCellAnchor>
  <xdr:twoCellAnchor>
    <xdr:from>
      <xdr:col>10</xdr:col>
      <xdr:colOff>47625</xdr:colOff>
      <xdr:row>0</xdr:row>
      <xdr:rowOff>76200</xdr:rowOff>
    </xdr:from>
    <xdr:to>
      <xdr:col>16</xdr:col>
      <xdr:colOff>1371600</xdr:colOff>
      <xdr:row>0</xdr:row>
      <xdr:rowOff>266700</xdr:rowOff>
    </xdr:to>
    <xdr:sp fLocksText="0">
      <xdr:nvSpPr>
        <xdr:cNvPr id="20" name="TextBox 33"/>
        <xdr:cNvSpPr txBox="1">
          <a:spLocks noChangeArrowheads="1"/>
        </xdr:cNvSpPr>
      </xdr:nvSpPr>
      <xdr:spPr>
        <a:xfrm>
          <a:off x="5953125" y="76200"/>
          <a:ext cx="32099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1</xdr:row>
      <xdr:rowOff>28575</xdr:rowOff>
    </xdr:from>
    <xdr:to>
      <xdr:col>16</xdr:col>
      <xdr:colOff>1390650</xdr:colOff>
      <xdr:row>2</xdr:row>
      <xdr:rowOff>57150</xdr:rowOff>
    </xdr:to>
    <xdr:sp fLocksText="0">
      <xdr:nvSpPr>
        <xdr:cNvPr id="21" name="TextBox 34"/>
        <xdr:cNvSpPr txBox="1">
          <a:spLocks noChangeArrowheads="1"/>
        </xdr:cNvSpPr>
      </xdr:nvSpPr>
      <xdr:spPr>
        <a:xfrm>
          <a:off x="5972175" y="333375"/>
          <a:ext cx="32099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xdr:row>
      <xdr:rowOff>180975</xdr:rowOff>
    </xdr:from>
    <xdr:to>
      <xdr:col>16</xdr:col>
      <xdr:colOff>1390650</xdr:colOff>
      <xdr:row>2</xdr:row>
      <xdr:rowOff>371475</xdr:rowOff>
    </xdr:to>
    <xdr:sp fLocksText="0">
      <xdr:nvSpPr>
        <xdr:cNvPr id="22" name="TextBox 35"/>
        <xdr:cNvSpPr txBox="1">
          <a:spLocks noChangeArrowheads="1"/>
        </xdr:cNvSpPr>
      </xdr:nvSpPr>
      <xdr:spPr>
        <a:xfrm>
          <a:off x="5972175" y="647700"/>
          <a:ext cx="32099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180975</xdr:colOff>
      <xdr:row>0</xdr:row>
      <xdr:rowOff>114300</xdr:rowOff>
    </xdr:from>
    <xdr:to>
      <xdr:col>10</xdr:col>
      <xdr:colOff>542925</xdr:colOff>
      <xdr:row>2</xdr:row>
      <xdr:rowOff>133350</xdr:rowOff>
    </xdr:to>
    <xdr:pic>
      <xdr:nvPicPr>
        <xdr:cNvPr id="1" name="Picture 3"/>
        <xdr:cNvPicPr preferRelativeResize="1">
          <a:picLocks noChangeAspect="1"/>
        </xdr:cNvPicPr>
      </xdr:nvPicPr>
      <xdr:blipFill>
        <a:blip r:embed="rId1"/>
        <a:stretch>
          <a:fillRect/>
        </a:stretch>
      </xdr:blipFill>
      <xdr:spPr>
        <a:xfrm>
          <a:off x="5057775" y="114300"/>
          <a:ext cx="15811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9525</xdr:rowOff>
    </xdr:from>
    <xdr:to>
      <xdr:col>4</xdr:col>
      <xdr:colOff>428625</xdr:colOff>
      <xdr:row>26</xdr:row>
      <xdr:rowOff>9525</xdr:rowOff>
    </xdr:to>
    <xdr:sp>
      <xdr:nvSpPr>
        <xdr:cNvPr id="1" name="TextBox 28"/>
        <xdr:cNvSpPr txBox="1">
          <a:spLocks noChangeArrowheads="1"/>
        </xdr:cNvSpPr>
      </xdr:nvSpPr>
      <xdr:spPr>
        <a:xfrm>
          <a:off x="38100" y="2695575"/>
          <a:ext cx="3819525"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Pn400 adjusts the volts/rated torque ratio at connector CN1 pins 9-10 (the T-REF input).</a:t>
          </a:r>
          <a:r>
            <a:rPr lang="en-US" cap="none" sz="1000" b="0" i="0" u="none" baseline="0">
              <a:latin typeface="Arial"/>
              <a:ea typeface="Arial"/>
              <a:cs typeface="Arial"/>
            </a:rPr>
            <a:t>
This parameter may need to be adjusted under the following circumstances:
1. When the amplifier is used in </a:t>
          </a:r>
          <a:r>
            <a:rPr lang="en-US" cap="none" sz="1000" b="1" i="0" u="none" baseline="0">
              <a:latin typeface="Arial"/>
              <a:ea typeface="Arial"/>
              <a:cs typeface="Arial"/>
            </a:rPr>
            <a:t>torque mode</a:t>
          </a:r>
          <a:r>
            <a:rPr lang="en-US" cap="none" sz="1000" b="0" i="0" u="none" baseline="0">
              <a:latin typeface="Arial"/>
              <a:ea typeface="Arial"/>
              <a:cs typeface="Arial"/>
            </a:rPr>
            <a:t> (Pn000.1=2, 6 or 8)
2. When T-REF is used as an external analog torque limit (Pn002.0=1)
3. When T-REF is used as a torque feed-forward input (Pn002.0=2)
</a:t>
          </a:r>
        </a:p>
      </xdr:txBody>
    </xdr:sp>
    <xdr:clientData/>
  </xdr:twoCellAnchor>
  <xdr:twoCellAnchor editAs="absolute">
    <xdr:from>
      <xdr:col>0</xdr:col>
      <xdr:colOff>2476500</xdr:colOff>
      <xdr:row>3</xdr:row>
      <xdr:rowOff>85725</xdr:rowOff>
    </xdr:from>
    <xdr:to>
      <xdr:col>4</xdr:col>
      <xdr:colOff>352425</xdr:colOff>
      <xdr:row>7</xdr:row>
      <xdr:rowOff>152400</xdr:rowOff>
    </xdr:to>
    <xdr:sp>
      <xdr:nvSpPr>
        <xdr:cNvPr id="2" name="TextBox 29"/>
        <xdr:cNvSpPr txBox="1">
          <a:spLocks noChangeArrowheads="1"/>
        </xdr:cNvSpPr>
      </xdr:nvSpPr>
      <xdr:spPr>
        <a:xfrm>
          <a:off x="2476500" y="809625"/>
          <a:ext cx="1304925" cy="7143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First click a button.
Then enter the data in the </a:t>
          </a:r>
          <a:r>
            <a:rPr lang="en-US" cap="none" sz="800" b="0" i="0" u="none" baseline="0">
              <a:solidFill>
                <a:srgbClr val="808000"/>
              </a:solidFill>
              <a:latin typeface="Arial"/>
              <a:ea typeface="Arial"/>
              <a:cs typeface="Arial"/>
            </a:rPr>
            <a:t>YELLOW</a:t>
          </a:r>
          <a:r>
            <a:rPr lang="en-US" cap="none" sz="800" b="0" i="0" u="none" baseline="0">
              <a:latin typeface="Arial"/>
              <a:ea typeface="Arial"/>
              <a:cs typeface="Arial"/>
            </a:rPr>
            <a:t> cells.  
The </a:t>
          </a:r>
          <a:r>
            <a:rPr lang="en-US" cap="none" sz="800" b="0" i="0" u="none" baseline="0">
              <a:solidFill>
                <a:srgbClr val="0000FF"/>
              </a:solidFill>
              <a:latin typeface="Arial"/>
              <a:ea typeface="Arial"/>
              <a:cs typeface="Arial"/>
            </a:rPr>
            <a:t>BLUE</a:t>
          </a:r>
          <a:r>
            <a:rPr lang="en-US" cap="none" sz="800" b="0" i="0" u="none" baseline="0">
              <a:latin typeface="Arial"/>
              <a:ea typeface="Arial"/>
              <a:cs typeface="Arial"/>
            </a:rPr>
            <a:t> cell contains the result.</a:t>
          </a:r>
        </a:p>
      </xdr:txBody>
    </xdr:sp>
    <xdr:clientData/>
  </xdr:twoCellAnchor>
  <xdr:twoCellAnchor editAs="oneCell">
    <xdr:from>
      <xdr:col>0</xdr:col>
      <xdr:colOff>2533650</xdr:colOff>
      <xdr:row>1</xdr:row>
      <xdr:rowOff>19050</xdr:rowOff>
    </xdr:from>
    <xdr:to>
      <xdr:col>4</xdr:col>
      <xdr:colOff>371475</xdr:colOff>
      <xdr:row>2</xdr:row>
      <xdr:rowOff>66675</xdr:rowOff>
    </xdr:to>
    <xdr:pic>
      <xdr:nvPicPr>
        <xdr:cNvPr id="3" name="Picture 31"/>
        <xdr:cNvPicPr preferRelativeResize="1">
          <a:picLocks noChangeAspect="1"/>
        </xdr:cNvPicPr>
      </xdr:nvPicPr>
      <xdr:blipFill>
        <a:blip r:embed="rId1"/>
        <a:stretch>
          <a:fillRect/>
        </a:stretch>
      </xdr:blipFill>
      <xdr:spPr>
        <a:xfrm>
          <a:off x="2533650" y="352425"/>
          <a:ext cx="12668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19</xdr:row>
      <xdr:rowOff>0</xdr:rowOff>
    </xdr:from>
    <xdr:to>
      <xdr:col>4</xdr:col>
      <xdr:colOff>76200</xdr:colOff>
      <xdr:row>30</xdr:row>
      <xdr:rowOff>0</xdr:rowOff>
    </xdr:to>
    <xdr:sp>
      <xdr:nvSpPr>
        <xdr:cNvPr id="1" name="TextBox 17"/>
        <xdr:cNvSpPr txBox="1">
          <a:spLocks noChangeArrowheads="1"/>
        </xdr:cNvSpPr>
      </xdr:nvSpPr>
      <xdr:spPr>
        <a:xfrm>
          <a:off x="47625" y="3571875"/>
          <a:ext cx="4124325"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Pn300 adjusts the volts/rated speed ratio at connector CN1 pins 5-6 (the V-REF input).</a:t>
          </a:r>
          <a:r>
            <a:rPr lang="en-US" cap="none" sz="1000" b="0" i="0" u="none" baseline="0">
              <a:latin typeface="Arial"/>
              <a:ea typeface="Arial"/>
              <a:cs typeface="Arial"/>
            </a:rPr>
            <a:t>
This parameter may need to be adjusted under the following circumstances:
1. When the amplifier is used in  </a:t>
          </a:r>
          <a:r>
            <a:rPr lang="en-US" cap="none" sz="1000" b="1" i="0" u="none" baseline="0">
              <a:latin typeface="Arial"/>
              <a:ea typeface="Arial"/>
              <a:cs typeface="Arial"/>
            </a:rPr>
            <a:t>speed mode</a:t>
          </a:r>
          <a:r>
            <a:rPr lang="en-US" cap="none" sz="1000" b="0" i="0" u="none" baseline="0">
              <a:latin typeface="Arial"/>
              <a:ea typeface="Arial"/>
              <a:cs typeface="Arial"/>
            </a:rPr>
            <a:t> (Pn000.1=0, 4, 7, 9, or A)
2. When V-REF is used as an external analog speed limit (Pn002.1=1) in torque mode (Pn000.1=2, 6 or 8)
</a:t>
          </a:r>
        </a:p>
      </xdr:txBody>
    </xdr:sp>
    <xdr:clientData/>
  </xdr:twoCellAnchor>
  <xdr:twoCellAnchor editAs="absolute">
    <xdr:from>
      <xdr:col>0</xdr:col>
      <xdr:colOff>2457450</xdr:colOff>
      <xdr:row>4</xdr:row>
      <xdr:rowOff>95250</xdr:rowOff>
    </xdr:from>
    <xdr:to>
      <xdr:col>1</xdr:col>
      <xdr:colOff>1343025</xdr:colOff>
      <xdr:row>8</xdr:row>
      <xdr:rowOff>123825</xdr:rowOff>
    </xdr:to>
    <xdr:sp>
      <xdr:nvSpPr>
        <xdr:cNvPr id="2" name="TextBox 18"/>
        <xdr:cNvSpPr txBox="1">
          <a:spLocks noChangeArrowheads="1"/>
        </xdr:cNvSpPr>
      </xdr:nvSpPr>
      <xdr:spPr>
        <a:xfrm>
          <a:off x="2457450" y="1047750"/>
          <a:ext cx="1600200" cy="8096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First click a button.
Then enter the data in the </a:t>
          </a:r>
          <a:r>
            <a:rPr lang="en-US" cap="none" sz="800" b="0" i="0" u="none" baseline="0">
              <a:solidFill>
                <a:srgbClr val="808000"/>
              </a:solidFill>
              <a:latin typeface="Arial"/>
              <a:ea typeface="Arial"/>
              <a:cs typeface="Arial"/>
            </a:rPr>
            <a:t>YELLOW</a:t>
          </a:r>
          <a:r>
            <a:rPr lang="en-US" cap="none" sz="800" b="0" i="0" u="none" baseline="0">
              <a:latin typeface="Arial"/>
              <a:ea typeface="Arial"/>
              <a:cs typeface="Arial"/>
            </a:rPr>
            <a:t> cells.  
The </a:t>
          </a:r>
          <a:r>
            <a:rPr lang="en-US" cap="none" sz="800" b="0" i="0" u="none" baseline="0">
              <a:solidFill>
                <a:srgbClr val="0000FF"/>
              </a:solidFill>
              <a:latin typeface="Arial"/>
              <a:ea typeface="Arial"/>
              <a:cs typeface="Arial"/>
            </a:rPr>
            <a:t>BLUE</a:t>
          </a:r>
          <a:r>
            <a:rPr lang="en-US" cap="none" sz="800" b="0" i="0" u="none" baseline="0">
              <a:latin typeface="Arial"/>
              <a:ea typeface="Arial"/>
              <a:cs typeface="Arial"/>
            </a:rPr>
            <a:t> cell contains the result.</a:t>
          </a:r>
        </a:p>
      </xdr:txBody>
    </xdr:sp>
    <xdr:clientData/>
  </xdr:twoCellAnchor>
  <xdr:twoCellAnchor editAs="oneCell">
    <xdr:from>
      <xdr:col>0</xdr:col>
      <xdr:colOff>2695575</xdr:colOff>
      <xdr:row>2</xdr:row>
      <xdr:rowOff>19050</xdr:rowOff>
    </xdr:from>
    <xdr:to>
      <xdr:col>1</xdr:col>
      <xdr:colOff>1343025</xdr:colOff>
      <xdr:row>3</xdr:row>
      <xdr:rowOff>85725</xdr:rowOff>
    </xdr:to>
    <xdr:pic>
      <xdr:nvPicPr>
        <xdr:cNvPr id="3" name="Picture 22"/>
        <xdr:cNvPicPr preferRelativeResize="1">
          <a:picLocks noChangeAspect="1"/>
        </xdr:cNvPicPr>
      </xdr:nvPicPr>
      <xdr:blipFill>
        <a:blip r:embed="rId1"/>
        <a:stretch>
          <a:fillRect/>
        </a:stretch>
      </xdr:blipFill>
      <xdr:spPr>
        <a:xfrm>
          <a:off x="2695575" y="581025"/>
          <a:ext cx="136207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571500</xdr:colOff>
      <xdr:row>3</xdr:row>
      <xdr:rowOff>28575</xdr:rowOff>
    </xdr:from>
    <xdr:to>
      <xdr:col>11</xdr:col>
      <xdr:colOff>476250</xdr:colOff>
      <xdr:row>40</xdr:row>
      <xdr:rowOff>76200</xdr:rowOff>
    </xdr:to>
    <xdr:sp>
      <xdr:nvSpPr>
        <xdr:cNvPr id="1" name="AutoShape 15"/>
        <xdr:cNvSpPr>
          <a:spLocks/>
        </xdr:cNvSpPr>
      </xdr:nvSpPr>
      <xdr:spPr>
        <a:xfrm>
          <a:off x="4333875" y="752475"/>
          <a:ext cx="4819650" cy="4171950"/>
        </a:xfrm>
        <a:prstGeom prst="rect">
          <a:avLst/>
        </a:prstGeom>
        <a:solidFill>
          <a:srgbClr val="FFFF99"/>
        </a:solidFill>
        <a:ln w="12700" cmpd="sng">
          <a:solidFill>
            <a:srgbClr val="000000"/>
          </a:solidFill>
          <a:headEnd type="none"/>
          <a:tailEnd type="none"/>
        </a:ln>
      </xdr:spPr>
      <xdr:txBody>
        <a:bodyPr vertOverflow="clip" wrap="square" lIns="90488" tIns="44450" rIns="90488" bIns="44450"/>
        <a:p>
          <a:pPr algn="l">
            <a:defRPr/>
          </a:pPr>
          <a:r>
            <a:rPr lang="en-US" cap="none" sz="1000" b="0" i="0" u="none" baseline="0">
              <a:solidFill>
                <a:srgbClr val="000000"/>
              </a:solidFill>
              <a:latin typeface="Arial"/>
              <a:ea typeface="Arial"/>
              <a:cs typeface="Arial"/>
            </a:rPr>
            <a:t>•When the amplifier receives a pulse, it has to know how far to move the motor.  
•Traditionally, one command pulse would move the motor one encoder count.
•However, it can be cumbersome to program the controller in encoder counts rather than the natural units of the machine (inches, degrees, etc).  
•The SGDH allows each command pulse to be scaled so that it represents machine movement in fractions of the natural unit rather than encoder counts.  For example, one command pulse moves the ballscrew 0.001 inch.
•This scaled increment of motion is referred to as the “reference unit”, or “R.U.”.
•Scaling is accomplished by setting the “electronic gear ratio” parameters Pn202 and Pn203.  
Model the application as follows when using this feature.
</a:t>
          </a:r>
        </a:p>
      </xdr:txBody>
    </xdr:sp>
    <xdr:clientData/>
  </xdr:twoCellAnchor>
  <xdr:twoCellAnchor editAs="absolute">
    <xdr:from>
      <xdr:col>1</xdr:col>
      <xdr:colOff>0</xdr:colOff>
      <xdr:row>4</xdr:row>
      <xdr:rowOff>19050</xdr:rowOff>
    </xdr:from>
    <xdr:to>
      <xdr:col>4</xdr:col>
      <xdr:colOff>257175</xdr:colOff>
      <xdr:row>8</xdr:row>
      <xdr:rowOff>85725</xdr:rowOff>
    </xdr:to>
    <xdr:sp>
      <xdr:nvSpPr>
        <xdr:cNvPr id="2" name="TextBox 51"/>
        <xdr:cNvSpPr txBox="1">
          <a:spLocks noChangeArrowheads="1"/>
        </xdr:cNvSpPr>
      </xdr:nvSpPr>
      <xdr:spPr>
        <a:xfrm>
          <a:off x="2714625" y="904875"/>
          <a:ext cx="1304925" cy="7143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First click a button.
Then enter the data in the </a:t>
          </a:r>
          <a:r>
            <a:rPr lang="en-US" cap="none" sz="800" b="0" i="0" u="none" baseline="0">
              <a:solidFill>
                <a:srgbClr val="808000"/>
              </a:solidFill>
              <a:latin typeface="Arial"/>
              <a:ea typeface="Arial"/>
              <a:cs typeface="Arial"/>
            </a:rPr>
            <a:t>YELLOW</a:t>
          </a:r>
          <a:r>
            <a:rPr lang="en-US" cap="none" sz="800" b="0" i="0" u="none" baseline="0">
              <a:latin typeface="Arial"/>
              <a:ea typeface="Arial"/>
              <a:cs typeface="Arial"/>
            </a:rPr>
            <a:t> cells.  
The </a:t>
          </a:r>
          <a:r>
            <a:rPr lang="en-US" cap="none" sz="800" b="0" i="0" u="none" baseline="0">
              <a:solidFill>
                <a:srgbClr val="0000FF"/>
              </a:solidFill>
              <a:latin typeface="Arial"/>
              <a:ea typeface="Arial"/>
              <a:cs typeface="Arial"/>
            </a:rPr>
            <a:t>BLUE</a:t>
          </a:r>
          <a:r>
            <a:rPr lang="en-US" cap="none" sz="800" b="0" i="0" u="none" baseline="0">
              <a:latin typeface="Arial"/>
              <a:ea typeface="Arial"/>
              <a:cs typeface="Arial"/>
            </a:rPr>
            <a:t> cells contain the result.</a:t>
          </a:r>
        </a:p>
      </xdr:txBody>
    </xdr:sp>
    <xdr:clientData/>
  </xdr:twoCellAnchor>
  <xdr:twoCellAnchor editAs="absolute">
    <xdr:from>
      <xdr:col>4</xdr:col>
      <xdr:colOff>981075</xdr:colOff>
      <xdr:row>21</xdr:row>
      <xdr:rowOff>133350</xdr:rowOff>
    </xdr:from>
    <xdr:to>
      <xdr:col>11</xdr:col>
      <xdr:colOff>209550</xdr:colOff>
      <xdr:row>31</xdr:row>
      <xdr:rowOff>19050</xdr:rowOff>
    </xdr:to>
    <xdr:grpSp>
      <xdr:nvGrpSpPr>
        <xdr:cNvPr id="3" name="Group 65"/>
        <xdr:cNvGrpSpPr>
          <a:grpSpLocks/>
        </xdr:cNvGrpSpPr>
      </xdr:nvGrpSpPr>
      <xdr:grpSpPr>
        <a:xfrm>
          <a:off x="4743450" y="3848100"/>
          <a:ext cx="4143375" cy="695325"/>
          <a:chOff x="466" y="332"/>
          <a:chExt cx="435" cy="80"/>
        </a:xfrm>
        <a:solidFill>
          <a:srgbClr val="FFFFFF"/>
        </a:solidFill>
      </xdr:grpSpPr>
      <xdr:sp>
        <xdr:nvSpPr>
          <xdr:cNvPr id="4" name="Rectangle 58"/>
          <xdr:cNvSpPr>
            <a:spLocks/>
          </xdr:cNvSpPr>
        </xdr:nvSpPr>
        <xdr:spPr>
          <a:xfrm>
            <a:off x="466" y="332"/>
            <a:ext cx="83" cy="80"/>
          </a:xfrm>
          <a:prstGeom prst="rect">
            <a:avLst/>
          </a:prstGeom>
          <a:gradFill rotWithShape="1">
            <a:gsLst>
              <a:gs pos="0">
                <a:srgbClr val="3B3B3B"/>
              </a:gs>
              <a:gs pos="50000">
                <a:srgbClr val="969696"/>
              </a:gs>
              <a:gs pos="100000">
                <a:srgbClr val="3B3B3B"/>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Motor</a:t>
            </a:r>
          </a:p>
        </xdr:txBody>
      </xdr:sp>
      <xdr:sp>
        <xdr:nvSpPr>
          <xdr:cNvPr id="5" name="Rectangle 60"/>
          <xdr:cNvSpPr>
            <a:spLocks/>
          </xdr:cNvSpPr>
        </xdr:nvSpPr>
        <xdr:spPr>
          <a:xfrm>
            <a:off x="628" y="332"/>
            <a:ext cx="83" cy="80"/>
          </a:xfrm>
          <a:prstGeom prst="rect">
            <a:avLst/>
          </a:prstGeom>
          <a:gradFill rotWithShape="1">
            <a:gsLst>
              <a:gs pos="0">
                <a:srgbClr val="172F75"/>
              </a:gs>
              <a:gs pos="50000">
                <a:srgbClr val="3366FF"/>
              </a:gs>
              <a:gs pos="100000">
                <a:srgbClr val="172F75"/>
              </a:gs>
            </a:gsLst>
            <a:lin ang="5400000" scaled="1"/>
          </a:gradFill>
          <a:ln w="9525" cmpd="sng">
            <a:solidFill>
              <a:srgbClr val="000000"/>
            </a:solidFill>
            <a:headEnd type="none"/>
            <a:tailEnd type="none"/>
          </a:ln>
        </xdr:spPr>
        <xdr:txBody>
          <a:bodyPr vertOverflow="clip" wrap="square" anchor="ctr"/>
          <a:p>
            <a:pPr algn="ctr">
              <a:defRPr/>
            </a:pPr>
            <a:r>
              <a:rPr lang="en-US" cap="none" sz="1000" b="0" i="0" u="none" baseline="0">
                <a:solidFill>
                  <a:srgbClr val="FFFFFF"/>
                </a:solidFill>
                <a:latin typeface="Arial"/>
                <a:ea typeface="Arial"/>
                <a:cs typeface="Arial"/>
              </a:rPr>
              <a:t>All Transmission Components</a:t>
            </a:r>
          </a:p>
        </xdr:txBody>
      </xdr:sp>
      <xdr:sp>
        <xdr:nvSpPr>
          <xdr:cNvPr id="6" name="Rectangle 61"/>
          <xdr:cNvSpPr>
            <a:spLocks/>
          </xdr:cNvSpPr>
        </xdr:nvSpPr>
        <xdr:spPr>
          <a:xfrm>
            <a:off x="804" y="332"/>
            <a:ext cx="97" cy="80"/>
          </a:xfrm>
          <a:prstGeom prst="rect">
            <a:avLst/>
          </a:prstGeom>
          <a:gradFill rotWithShape="1">
            <a:gsLst>
              <a:gs pos="0">
                <a:srgbClr val="757575"/>
              </a:gs>
              <a:gs pos="100000">
                <a:srgbClr val="FFFFFF"/>
              </a:gs>
            </a:gsLst>
            <a:lin ang="27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Machine </a:t>
            </a:r>
            <a:r>
              <a:rPr lang="en-US" cap="none" sz="1000" b="0" i="0" u="none" baseline="0">
                <a:latin typeface="Arial"/>
                <a:ea typeface="Arial"/>
                <a:cs typeface="Arial"/>
              </a:rPr>
              <a:t>(Motion in Natural Units)</a:t>
            </a:r>
          </a:p>
        </xdr:txBody>
      </xdr:sp>
      <xdr:sp>
        <xdr:nvSpPr>
          <xdr:cNvPr id="7" name="Rectangle 62"/>
          <xdr:cNvSpPr>
            <a:spLocks/>
          </xdr:cNvSpPr>
        </xdr:nvSpPr>
        <xdr:spPr>
          <a:xfrm>
            <a:off x="549" y="356"/>
            <a:ext cx="79" cy="31"/>
          </a:xfrm>
          <a:prstGeom prst="rect">
            <a:avLst/>
          </a:prstGeom>
          <a:gradFill rotWithShape="1">
            <a:gsLst>
              <a:gs pos="0">
                <a:srgbClr val="757575"/>
              </a:gs>
              <a:gs pos="50000">
                <a:srgbClr val="FFFFFF"/>
              </a:gs>
              <a:gs pos="100000">
                <a:srgbClr val="757575"/>
              </a:gs>
            </a:gsLst>
            <a:lin ang="5400000" scaled="1"/>
          </a:gra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Motor Shaft</a:t>
            </a:r>
          </a:p>
        </xdr:txBody>
      </xdr:sp>
      <xdr:sp>
        <xdr:nvSpPr>
          <xdr:cNvPr id="8" name="Rectangle 63"/>
          <xdr:cNvSpPr>
            <a:spLocks/>
          </xdr:cNvSpPr>
        </xdr:nvSpPr>
        <xdr:spPr>
          <a:xfrm>
            <a:off x="711" y="358"/>
            <a:ext cx="93" cy="31"/>
          </a:xfrm>
          <a:prstGeom prst="rect">
            <a:avLst/>
          </a:prstGeom>
          <a:gradFill rotWithShape="1">
            <a:gsLst>
              <a:gs pos="0">
                <a:srgbClr val="757575"/>
              </a:gs>
              <a:gs pos="50000">
                <a:srgbClr val="FFFFFF"/>
              </a:gs>
              <a:gs pos="100000">
                <a:srgbClr val="757575"/>
              </a:gs>
            </a:gsLst>
            <a:lin ang="5400000" scaled="1"/>
          </a:gra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Machine Shaft</a:t>
            </a:r>
          </a:p>
        </xdr:txBody>
      </xdr:sp>
    </xdr:grpSp>
    <xdr:clientData/>
  </xdr:twoCellAnchor>
  <xdr:twoCellAnchor editAs="absolute">
    <xdr:from>
      <xdr:col>0</xdr:col>
      <xdr:colOff>171450</xdr:colOff>
      <xdr:row>29</xdr:row>
      <xdr:rowOff>85725</xdr:rowOff>
    </xdr:from>
    <xdr:to>
      <xdr:col>4</xdr:col>
      <xdr:colOff>342900</xdr:colOff>
      <xdr:row>42</xdr:row>
      <xdr:rowOff>85725</xdr:rowOff>
    </xdr:to>
    <xdr:sp>
      <xdr:nvSpPr>
        <xdr:cNvPr id="9" name="TextBox 70"/>
        <xdr:cNvSpPr txBox="1">
          <a:spLocks noChangeArrowheads="1"/>
        </xdr:cNvSpPr>
      </xdr:nvSpPr>
      <xdr:spPr>
        <a:xfrm>
          <a:off x="171450" y="4286250"/>
          <a:ext cx="393382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Pn202 and Pn203 adjust the encoder count (Pn202) per command pulses (Pn203) ratio</a:t>
          </a:r>
          <a:r>
            <a:rPr lang="en-US" cap="none" sz="1000" b="0" i="0" u="none" baseline="0">
              <a:latin typeface="Arial"/>
              <a:ea typeface="Arial"/>
              <a:cs typeface="Arial"/>
            </a:rPr>
            <a:t>
This parameter may need to be adjusted under the following circumstances:
* When the amplifier is used in </a:t>
          </a:r>
          <a:r>
            <a:rPr lang="en-US" cap="none" sz="1000" b="1" i="0" u="none" baseline="0">
              <a:latin typeface="Arial"/>
              <a:ea typeface="Arial"/>
              <a:cs typeface="Arial"/>
            </a:rPr>
            <a:t>position mode</a:t>
          </a:r>
          <a:r>
            <a:rPr lang="en-US" cap="none" sz="1000" b="0" i="0" u="none" baseline="0">
              <a:latin typeface="Arial"/>
              <a:ea typeface="Arial"/>
              <a:cs typeface="Arial"/>
            </a:rPr>
            <a:t> (Pn000.1=1, 5 or B)
</a:t>
          </a:r>
        </a:p>
      </xdr:txBody>
    </xdr:sp>
    <xdr:clientData/>
  </xdr:twoCellAnchor>
  <xdr:twoCellAnchor editAs="oneCell">
    <xdr:from>
      <xdr:col>0</xdr:col>
      <xdr:colOff>2600325</xdr:colOff>
      <xdr:row>1</xdr:row>
      <xdr:rowOff>38100</xdr:rowOff>
    </xdr:from>
    <xdr:to>
      <xdr:col>4</xdr:col>
      <xdr:colOff>247650</xdr:colOff>
      <xdr:row>2</xdr:row>
      <xdr:rowOff>114300</xdr:rowOff>
    </xdr:to>
    <xdr:pic>
      <xdr:nvPicPr>
        <xdr:cNvPr id="10" name="Picture 72"/>
        <xdr:cNvPicPr preferRelativeResize="1">
          <a:picLocks noChangeAspect="1"/>
        </xdr:cNvPicPr>
      </xdr:nvPicPr>
      <xdr:blipFill>
        <a:blip r:embed="rId1"/>
        <a:stretch>
          <a:fillRect/>
        </a:stretch>
      </xdr:blipFill>
      <xdr:spPr>
        <a:xfrm>
          <a:off x="2600325" y="371475"/>
          <a:ext cx="140970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16</xdr:row>
      <xdr:rowOff>142875</xdr:rowOff>
    </xdr:from>
    <xdr:to>
      <xdr:col>2</xdr:col>
      <xdr:colOff>1343025</xdr:colOff>
      <xdr:row>24</xdr:row>
      <xdr:rowOff>28575</xdr:rowOff>
    </xdr:to>
    <xdr:sp>
      <xdr:nvSpPr>
        <xdr:cNvPr id="1" name="TextBox 17"/>
        <xdr:cNvSpPr txBox="1">
          <a:spLocks noChangeArrowheads="1"/>
        </xdr:cNvSpPr>
      </xdr:nvSpPr>
      <xdr:spPr>
        <a:xfrm>
          <a:off x="0" y="3038475"/>
          <a:ext cx="4057650" cy="118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Pn305 and Pn306 adjust the acceleration and deceleration time in milliseconds for the motor to accelerate between 0 RPM and Max RPM.</a:t>
          </a:r>
          <a:r>
            <a:rPr lang="en-US" cap="none" sz="1000" b="0" i="0" u="none" baseline="0">
              <a:latin typeface="Arial"/>
              <a:ea typeface="Arial"/>
              <a:cs typeface="Arial"/>
            </a:rPr>
            <a:t>
This parameter only has an effect in the following control modes:
1. Speed mode (Pn000.1=0, 4, 7, or 9)
2. Contact speed mode (Pn000.1=3, 4, 5, or 6)
</a:t>
          </a:r>
        </a:p>
      </xdr:txBody>
    </xdr:sp>
    <xdr:clientData/>
  </xdr:twoCellAnchor>
  <xdr:twoCellAnchor editAs="absolute">
    <xdr:from>
      <xdr:col>0</xdr:col>
      <xdr:colOff>2466975</xdr:colOff>
      <xdr:row>3</xdr:row>
      <xdr:rowOff>57150</xdr:rowOff>
    </xdr:from>
    <xdr:to>
      <xdr:col>2</xdr:col>
      <xdr:colOff>1362075</xdr:colOff>
      <xdr:row>8</xdr:row>
      <xdr:rowOff>95250</xdr:rowOff>
    </xdr:to>
    <xdr:sp>
      <xdr:nvSpPr>
        <xdr:cNvPr id="2" name="TextBox 18"/>
        <xdr:cNvSpPr txBox="1">
          <a:spLocks noChangeArrowheads="1"/>
        </xdr:cNvSpPr>
      </xdr:nvSpPr>
      <xdr:spPr>
        <a:xfrm>
          <a:off x="2466975" y="781050"/>
          <a:ext cx="1609725" cy="8477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First click a button.
Then enter the data in the </a:t>
          </a:r>
          <a:r>
            <a:rPr lang="en-US" cap="none" sz="800" b="0" i="0" u="none" baseline="0">
              <a:solidFill>
                <a:srgbClr val="808000"/>
              </a:solidFill>
              <a:latin typeface="Arial"/>
              <a:ea typeface="Arial"/>
              <a:cs typeface="Arial"/>
            </a:rPr>
            <a:t>YELLOW</a:t>
          </a:r>
          <a:r>
            <a:rPr lang="en-US" cap="none" sz="800" b="0" i="0" u="none" baseline="0">
              <a:latin typeface="Arial"/>
              <a:ea typeface="Arial"/>
              <a:cs typeface="Arial"/>
            </a:rPr>
            <a:t> cells.  
The </a:t>
          </a:r>
          <a:r>
            <a:rPr lang="en-US" cap="none" sz="800" b="0" i="0" u="none" baseline="0">
              <a:solidFill>
                <a:srgbClr val="0000FF"/>
              </a:solidFill>
              <a:latin typeface="Arial"/>
              <a:ea typeface="Arial"/>
              <a:cs typeface="Arial"/>
            </a:rPr>
            <a:t>BLUE</a:t>
          </a:r>
          <a:r>
            <a:rPr lang="en-US" cap="none" sz="800" b="0" i="0" u="none" baseline="0">
              <a:latin typeface="Arial"/>
              <a:ea typeface="Arial"/>
              <a:cs typeface="Arial"/>
            </a:rPr>
            <a:t> cell contains the result.</a:t>
          </a:r>
        </a:p>
      </xdr:txBody>
    </xdr:sp>
    <xdr:clientData/>
  </xdr:twoCellAnchor>
  <xdr:twoCellAnchor editAs="oneCell">
    <xdr:from>
      <xdr:col>0</xdr:col>
      <xdr:colOff>2466975</xdr:colOff>
      <xdr:row>1</xdr:row>
      <xdr:rowOff>19050</xdr:rowOff>
    </xdr:from>
    <xdr:to>
      <xdr:col>2</xdr:col>
      <xdr:colOff>1333500</xdr:colOff>
      <xdr:row>2</xdr:row>
      <xdr:rowOff>133350</xdr:rowOff>
    </xdr:to>
    <xdr:pic>
      <xdr:nvPicPr>
        <xdr:cNvPr id="3" name="Picture 21"/>
        <xdr:cNvPicPr preferRelativeResize="1">
          <a:picLocks noChangeAspect="1"/>
        </xdr:cNvPicPr>
      </xdr:nvPicPr>
      <xdr:blipFill>
        <a:blip r:embed="rId1"/>
        <a:stretch>
          <a:fillRect/>
        </a:stretch>
      </xdr:blipFill>
      <xdr:spPr>
        <a:xfrm>
          <a:off x="2466975" y="352425"/>
          <a:ext cx="158115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85725</xdr:rowOff>
    </xdr:from>
    <xdr:to>
      <xdr:col>4</xdr:col>
      <xdr:colOff>771525</xdr:colOff>
      <xdr:row>35</xdr:row>
      <xdr:rowOff>95250</xdr:rowOff>
    </xdr:to>
    <xdr:sp>
      <xdr:nvSpPr>
        <xdr:cNvPr id="1" name="TextBox 1"/>
        <xdr:cNvSpPr txBox="1">
          <a:spLocks noChangeArrowheads="1"/>
        </xdr:cNvSpPr>
      </xdr:nvSpPr>
      <xdr:spPr>
        <a:xfrm>
          <a:off x="28575" y="3990975"/>
          <a:ext cx="5019675" cy="2276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Preliminary Tuning</a:t>
          </a:r>
          <a:r>
            <a:rPr lang="en-US" cap="none" sz="1000" b="0" i="0" u="none" baseline="0">
              <a:latin typeface="Arial"/>
              <a:ea typeface="Arial"/>
              <a:cs typeface="Arial"/>
            </a:rPr>
            <a:t>
1. Set Inertia Pn103. (If necessary, adjust Rigidity level for stable operation to perform Inertia By Graphical Analysis)
2. Adjust rigidity until just slightly instable  This instability is due to machine resonance.  Graph the resonance and apply NF if necessary.  
3. Repeat step 2 until NF does not apply (resonance above 500Hz), or until both NF have been used.
4. Decrease rigidity until stable.
5. Start standard manual tuning procedure - if the machine has not already been tuned with Rigidity alone.
</a:t>
          </a:r>
          <a:r>
            <a:rPr lang="en-US" cap="none" sz="1000" b="1" i="0" u="none" baseline="0">
              <a:latin typeface="Arial"/>
              <a:ea typeface="Arial"/>
              <a:cs typeface="Arial"/>
            </a:rPr>
            <a:t>TUNING PROCEDURE SUMMARY</a:t>
          </a:r>
          <a:r>
            <a:rPr lang="en-US" cap="none" sz="1000" b="0" i="0" u="none" baseline="0">
              <a:latin typeface="Arial"/>
              <a:ea typeface="Arial"/>
              <a:cs typeface="Arial"/>
            </a:rPr>
            <a:t>
Starting with Pn401, adjust each parameter for maximum performance, working from left to right on the above table.</a:t>
          </a:r>
        </a:p>
      </xdr:txBody>
    </xdr:sp>
    <xdr:clientData/>
  </xdr:twoCellAnchor>
  <xdr:twoCellAnchor editAs="absolute">
    <xdr:from>
      <xdr:col>2</xdr:col>
      <xdr:colOff>85725</xdr:colOff>
      <xdr:row>2</xdr:row>
      <xdr:rowOff>161925</xdr:rowOff>
    </xdr:from>
    <xdr:to>
      <xdr:col>4</xdr:col>
      <xdr:colOff>781050</xdr:colOff>
      <xdr:row>10</xdr:row>
      <xdr:rowOff>85725</xdr:rowOff>
    </xdr:to>
    <xdr:sp>
      <xdr:nvSpPr>
        <xdr:cNvPr id="2" name="AutoShape 7"/>
        <xdr:cNvSpPr>
          <a:spLocks/>
        </xdr:cNvSpPr>
      </xdr:nvSpPr>
      <xdr:spPr>
        <a:xfrm>
          <a:off x="2447925" y="723900"/>
          <a:ext cx="2609850" cy="1552575"/>
        </a:xfrm>
        <a:prstGeom prst="rect">
          <a:avLst/>
        </a:prstGeom>
        <a:solidFill>
          <a:srgbClr val="FFFF99"/>
        </a:solidFill>
        <a:ln w="12700" cmpd="sng">
          <a:solidFill>
            <a:srgbClr val="000000"/>
          </a:solidFill>
          <a:headEnd type="none"/>
          <a:tailEnd type="none"/>
        </a:ln>
      </xdr:spPr>
      <xdr:txBody>
        <a:bodyPr vertOverflow="clip" wrap="square" lIns="90488" tIns="44450" rIns="90488" bIns="44450"/>
        <a:p>
          <a:pPr algn="l">
            <a:defRPr/>
          </a:pPr>
          <a:r>
            <a:rPr lang="en-US" cap="none" sz="1000" b="1" i="0" u="none" baseline="0">
              <a:solidFill>
                <a:srgbClr val="000000"/>
              </a:solidFill>
              <a:latin typeface="Arial"/>
              <a:ea typeface="Arial"/>
              <a:cs typeface="Arial"/>
            </a:rPr>
            <a:t>Track and calculate the value of the primary tuning parameters.</a:t>
          </a:r>
          <a:r>
            <a:rPr lang="en-US" cap="none" sz="1000" b="0" i="0" u="none" baseline="0">
              <a:solidFill>
                <a:srgbClr val="000000"/>
              </a:solidFill>
              <a:latin typeface="Arial"/>
              <a:ea typeface="Arial"/>
              <a:cs typeface="Arial"/>
            </a:rPr>
            <a:t>
• Enter the requested data in the yellow highlighted cells and drop-down lists.
• Use the calculated parameter value as a starting point when tuning each loop.  
• Enter the actual value to recalculate the next tuning parameter</a:t>
          </a:r>
        </a:p>
      </xdr:txBody>
    </xdr:sp>
    <xdr:clientData/>
  </xdr:twoCellAnchor>
  <xdr:twoCellAnchor editAs="oneCell">
    <xdr:from>
      <xdr:col>3</xdr:col>
      <xdr:colOff>438150</xdr:colOff>
      <xdr:row>1</xdr:row>
      <xdr:rowOff>76200</xdr:rowOff>
    </xdr:from>
    <xdr:to>
      <xdr:col>4</xdr:col>
      <xdr:colOff>771525</xdr:colOff>
      <xdr:row>2</xdr:row>
      <xdr:rowOff>114300</xdr:rowOff>
    </xdr:to>
    <xdr:pic>
      <xdr:nvPicPr>
        <xdr:cNvPr id="3" name="Picture 27"/>
        <xdr:cNvPicPr preferRelativeResize="1">
          <a:picLocks noChangeAspect="1"/>
        </xdr:cNvPicPr>
      </xdr:nvPicPr>
      <xdr:blipFill>
        <a:blip r:embed="rId1"/>
        <a:stretch>
          <a:fillRect/>
        </a:stretch>
      </xdr:blipFill>
      <xdr:spPr>
        <a:xfrm>
          <a:off x="3829050" y="409575"/>
          <a:ext cx="1219200"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276225</xdr:colOff>
      <xdr:row>2</xdr:row>
      <xdr:rowOff>219075</xdr:rowOff>
    </xdr:from>
    <xdr:to>
      <xdr:col>4</xdr:col>
      <xdr:colOff>476250</xdr:colOff>
      <xdr:row>3</xdr:row>
      <xdr:rowOff>180975</xdr:rowOff>
    </xdr:to>
    <xdr:pic>
      <xdr:nvPicPr>
        <xdr:cNvPr id="1" name="Picture 9"/>
        <xdr:cNvPicPr preferRelativeResize="1">
          <a:picLocks noChangeAspect="0"/>
        </xdr:cNvPicPr>
      </xdr:nvPicPr>
      <xdr:blipFill>
        <a:blip r:embed="rId1"/>
        <a:stretch>
          <a:fillRect/>
        </a:stretch>
      </xdr:blipFill>
      <xdr:spPr>
        <a:xfrm>
          <a:off x="2543175" y="781050"/>
          <a:ext cx="200025" cy="200025"/>
        </a:xfrm>
        <a:prstGeom prst="rect">
          <a:avLst/>
        </a:prstGeom>
        <a:noFill/>
        <a:ln w="9525" cmpd="sng">
          <a:noFill/>
        </a:ln>
      </xdr:spPr>
    </xdr:pic>
    <xdr:clientData/>
  </xdr:twoCellAnchor>
  <xdr:twoCellAnchor editAs="oneCell">
    <xdr:from>
      <xdr:col>2</xdr:col>
      <xdr:colOff>161925</xdr:colOff>
      <xdr:row>2</xdr:row>
      <xdr:rowOff>219075</xdr:rowOff>
    </xdr:from>
    <xdr:to>
      <xdr:col>2</xdr:col>
      <xdr:colOff>361950</xdr:colOff>
      <xdr:row>3</xdr:row>
      <xdr:rowOff>180975</xdr:rowOff>
    </xdr:to>
    <xdr:pic>
      <xdr:nvPicPr>
        <xdr:cNvPr id="2" name="Picture 10"/>
        <xdr:cNvPicPr preferRelativeResize="1">
          <a:picLocks noChangeAspect="0"/>
        </xdr:cNvPicPr>
      </xdr:nvPicPr>
      <xdr:blipFill>
        <a:blip r:embed="rId2"/>
        <a:stretch>
          <a:fillRect/>
        </a:stretch>
      </xdr:blipFill>
      <xdr:spPr>
        <a:xfrm>
          <a:off x="590550" y="781050"/>
          <a:ext cx="200025" cy="200025"/>
        </a:xfrm>
        <a:prstGeom prst="rect">
          <a:avLst/>
        </a:prstGeom>
        <a:noFill/>
        <a:ln w="9525" cmpd="sng">
          <a:noFill/>
        </a:ln>
      </xdr:spPr>
    </xdr:pic>
    <xdr:clientData/>
  </xdr:twoCellAnchor>
  <xdr:twoCellAnchor editAs="oneCell">
    <xdr:from>
      <xdr:col>6</xdr:col>
      <xdr:colOff>819150</xdr:colOff>
      <xdr:row>0</xdr:row>
      <xdr:rowOff>57150</xdr:rowOff>
    </xdr:from>
    <xdr:to>
      <xdr:col>8</xdr:col>
      <xdr:colOff>9525</xdr:colOff>
      <xdr:row>0</xdr:row>
      <xdr:rowOff>323850</xdr:rowOff>
    </xdr:to>
    <xdr:pic>
      <xdr:nvPicPr>
        <xdr:cNvPr id="3" name="Picture 21"/>
        <xdr:cNvPicPr preferRelativeResize="1">
          <a:picLocks noChangeAspect="1"/>
        </xdr:cNvPicPr>
      </xdr:nvPicPr>
      <xdr:blipFill>
        <a:blip r:embed="rId3"/>
        <a:stretch>
          <a:fillRect/>
        </a:stretch>
      </xdr:blipFill>
      <xdr:spPr>
        <a:xfrm>
          <a:off x="3943350" y="57150"/>
          <a:ext cx="1209675" cy="266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533400</xdr:colOff>
      <xdr:row>9</xdr:row>
      <xdr:rowOff>38100</xdr:rowOff>
    </xdr:from>
    <xdr:to>
      <xdr:col>7</xdr:col>
      <xdr:colOff>285750</xdr:colOff>
      <xdr:row>11</xdr:row>
      <xdr:rowOff>57150</xdr:rowOff>
    </xdr:to>
    <xdr:pic>
      <xdr:nvPicPr>
        <xdr:cNvPr id="1" name="Picture 2"/>
        <xdr:cNvPicPr preferRelativeResize="1">
          <a:picLocks noChangeAspect="1"/>
        </xdr:cNvPicPr>
      </xdr:nvPicPr>
      <xdr:blipFill>
        <a:blip r:embed="rId1"/>
        <a:stretch>
          <a:fillRect/>
        </a:stretch>
      </xdr:blipFill>
      <xdr:spPr>
        <a:xfrm>
          <a:off x="2971800" y="1495425"/>
          <a:ext cx="1581150" cy="342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22</xdr:row>
      <xdr:rowOff>104775</xdr:rowOff>
    </xdr:from>
    <xdr:to>
      <xdr:col>7</xdr:col>
      <xdr:colOff>590550</xdr:colOff>
      <xdr:row>41</xdr:row>
      <xdr:rowOff>85725</xdr:rowOff>
    </xdr:to>
    <xdr:pic>
      <xdr:nvPicPr>
        <xdr:cNvPr id="1" name="Picture 1"/>
        <xdr:cNvPicPr preferRelativeResize="1">
          <a:picLocks noChangeAspect="1"/>
        </xdr:cNvPicPr>
      </xdr:nvPicPr>
      <xdr:blipFill>
        <a:blip r:embed="rId1"/>
        <a:stretch>
          <a:fillRect/>
        </a:stretch>
      </xdr:blipFill>
      <xdr:spPr>
        <a:xfrm>
          <a:off x="628650" y="4229100"/>
          <a:ext cx="4229100" cy="3057525"/>
        </a:xfrm>
        <a:prstGeom prst="rect">
          <a:avLst/>
        </a:prstGeom>
        <a:noFill/>
        <a:ln w="9525" cmpd="sng">
          <a:noFill/>
        </a:ln>
      </xdr:spPr>
    </xdr:pic>
    <xdr:clientData/>
  </xdr:twoCellAnchor>
  <xdr:twoCellAnchor>
    <xdr:from>
      <xdr:col>5</xdr:col>
      <xdr:colOff>142875</xdr:colOff>
      <xdr:row>25</xdr:row>
      <xdr:rowOff>57150</xdr:rowOff>
    </xdr:from>
    <xdr:to>
      <xdr:col>5</xdr:col>
      <xdr:colOff>447675</xdr:colOff>
      <xdr:row>27</xdr:row>
      <xdr:rowOff>19050</xdr:rowOff>
    </xdr:to>
    <xdr:sp>
      <xdr:nvSpPr>
        <xdr:cNvPr id="2" name="Oval 2"/>
        <xdr:cNvSpPr>
          <a:spLocks/>
        </xdr:cNvSpPr>
      </xdr:nvSpPr>
      <xdr:spPr>
        <a:xfrm>
          <a:off x="3190875" y="4667250"/>
          <a:ext cx="304800" cy="285750"/>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33</xdr:row>
      <xdr:rowOff>76200</xdr:rowOff>
    </xdr:from>
    <xdr:to>
      <xdr:col>3</xdr:col>
      <xdr:colOff>171450</xdr:colOff>
      <xdr:row>35</xdr:row>
      <xdr:rowOff>38100</xdr:rowOff>
    </xdr:to>
    <xdr:sp>
      <xdr:nvSpPr>
        <xdr:cNvPr id="3" name="Oval 3"/>
        <xdr:cNvSpPr>
          <a:spLocks/>
        </xdr:cNvSpPr>
      </xdr:nvSpPr>
      <xdr:spPr>
        <a:xfrm>
          <a:off x="1695450" y="5981700"/>
          <a:ext cx="304800" cy="285750"/>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20</xdr:row>
      <xdr:rowOff>152400</xdr:rowOff>
    </xdr:from>
    <xdr:to>
      <xdr:col>6</xdr:col>
      <xdr:colOff>304800</xdr:colOff>
      <xdr:row>25</xdr:row>
      <xdr:rowOff>95250</xdr:rowOff>
    </xdr:to>
    <xdr:sp>
      <xdr:nvSpPr>
        <xdr:cNvPr id="4" name="Line 4"/>
        <xdr:cNvSpPr>
          <a:spLocks/>
        </xdr:cNvSpPr>
      </xdr:nvSpPr>
      <xdr:spPr>
        <a:xfrm flipH="1">
          <a:off x="2581275" y="3952875"/>
          <a:ext cx="1381125" cy="752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21</xdr:row>
      <xdr:rowOff>9525</xdr:rowOff>
    </xdr:from>
    <xdr:to>
      <xdr:col>9</xdr:col>
      <xdr:colOff>28575</xdr:colOff>
      <xdr:row>24</xdr:row>
      <xdr:rowOff>85725</xdr:rowOff>
    </xdr:to>
    <xdr:sp>
      <xdr:nvSpPr>
        <xdr:cNvPr id="5" name="Line 5"/>
        <xdr:cNvSpPr>
          <a:spLocks/>
        </xdr:cNvSpPr>
      </xdr:nvSpPr>
      <xdr:spPr>
        <a:xfrm flipH="1">
          <a:off x="4048125" y="3971925"/>
          <a:ext cx="146685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66675</xdr:colOff>
      <xdr:row>0</xdr:row>
      <xdr:rowOff>76200</xdr:rowOff>
    </xdr:from>
    <xdr:to>
      <xdr:col>9</xdr:col>
      <xdr:colOff>571500</xdr:colOff>
      <xdr:row>0</xdr:row>
      <xdr:rowOff>314325</xdr:rowOff>
    </xdr:to>
    <xdr:pic>
      <xdr:nvPicPr>
        <xdr:cNvPr id="6" name="Picture 6"/>
        <xdr:cNvPicPr preferRelativeResize="1">
          <a:picLocks noChangeAspect="1"/>
        </xdr:cNvPicPr>
      </xdr:nvPicPr>
      <xdr:blipFill>
        <a:blip r:embed="rId2"/>
        <a:stretch>
          <a:fillRect/>
        </a:stretch>
      </xdr:blipFill>
      <xdr:spPr>
        <a:xfrm>
          <a:off x="4943475" y="76200"/>
          <a:ext cx="111442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1.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5"/>
  <dimension ref="A1:I31"/>
  <sheetViews>
    <sheetView tabSelected="1" workbookViewId="0" topLeftCell="A1">
      <selection activeCell="A1" sqref="A1"/>
    </sheetView>
  </sheetViews>
  <sheetFormatPr defaultColWidth="9.140625" defaultRowHeight="12.75"/>
  <cols>
    <col min="1" max="1" width="6.00390625" style="0" customWidth="1"/>
    <col min="2" max="2" width="15.7109375" style="0" bestFit="1" customWidth="1"/>
    <col min="3" max="3" width="35.57421875" style="0" customWidth="1"/>
    <col min="4" max="4" width="20.421875" style="0" customWidth="1"/>
  </cols>
  <sheetData>
    <row r="1" spans="1:9" ht="26.25">
      <c r="A1" s="180" t="s">
        <v>5</v>
      </c>
      <c r="B1" s="3"/>
      <c r="C1" s="3"/>
      <c r="D1" s="3"/>
      <c r="E1" s="3"/>
      <c r="F1" s="6"/>
      <c r="G1" s="6"/>
      <c r="H1" s="6"/>
      <c r="I1" s="6"/>
    </row>
    <row r="2" spans="1:9" ht="12.75">
      <c r="A2" s="3"/>
      <c r="B2" s="3"/>
      <c r="C2" s="3"/>
      <c r="D2" s="3"/>
      <c r="E2" s="3"/>
      <c r="F2" s="6"/>
      <c r="G2" s="6"/>
      <c r="H2" s="6"/>
      <c r="I2" s="6"/>
    </row>
    <row r="3" spans="1:9" ht="12.75">
      <c r="A3" s="3"/>
      <c r="B3" s="3"/>
      <c r="C3" s="3"/>
      <c r="D3" s="3"/>
      <c r="E3" s="3"/>
      <c r="F3" s="6"/>
      <c r="G3" s="6"/>
      <c r="H3" s="6"/>
      <c r="I3" s="6"/>
    </row>
    <row r="4" spans="1:9" ht="12.75">
      <c r="A4" s="3"/>
      <c r="B4" s="3"/>
      <c r="C4" s="3"/>
      <c r="D4" s="3"/>
      <c r="E4" s="3"/>
      <c r="F4" s="6"/>
      <c r="G4" s="6"/>
      <c r="H4" s="6"/>
      <c r="I4" s="6"/>
    </row>
    <row r="5" spans="1:5" ht="12.75">
      <c r="A5" s="3"/>
      <c r="B5" s="3"/>
      <c r="C5" s="3"/>
      <c r="D5" s="3"/>
      <c r="E5" s="3"/>
    </row>
    <row r="6" spans="1:5" ht="12.75">
      <c r="A6" s="3"/>
      <c r="B6" s="3"/>
      <c r="C6" s="3"/>
      <c r="D6" s="3"/>
      <c r="E6" s="3"/>
    </row>
    <row r="7" spans="1:5" ht="12.75">
      <c r="A7" s="3"/>
      <c r="B7" s="3"/>
      <c r="C7" s="3"/>
      <c r="D7" s="3"/>
      <c r="E7" s="3"/>
    </row>
    <row r="8" spans="1:5" ht="12.75">
      <c r="A8" s="3"/>
      <c r="B8" s="3"/>
      <c r="C8" s="3"/>
      <c r="D8" s="3"/>
      <c r="E8" s="3"/>
    </row>
    <row r="9" spans="1:5" ht="18.75" thickBot="1">
      <c r="A9" s="181" t="s">
        <v>227</v>
      </c>
      <c r="B9" s="3"/>
      <c r="C9" s="3"/>
      <c r="D9" s="3"/>
      <c r="E9" s="3"/>
    </row>
    <row r="10" spans="1:5" ht="25.5">
      <c r="A10" s="182"/>
      <c r="B10" s="191" t="s">
        <v>236</v>
      </c>
      <c r="C10" s="185" t="s">
        <v>237</v>
      </c>
      <c r="D10" s="186" t="s">
        <v>249</v>
      </c>
      <c r="E10" s="3"/>
    </row>
    <row r="11" spans="1:5" ht="25.5">
      <c r="A11" s="82"/>
      <c r="B11" s="187" t="s">
        <v>162</v>
      </c>
      <c r="C11" s="183" t="s">
        <v>245</v>
      </c>
      <c r="D11" s="188" t="s">
        <v>250</v>
      </c>
      <c r="E11" s="3"/>
    </row>
    <row r="12" spans="1:5" ht="25.5">
      <c r="A12" s="82"/>
      <c r="B12" s="189" t="s">
        <v>228</v>
      </c>
      <c r="C12" s="184" t="s">
        <v>246</v>
      </c>
      <c r="D12" s="190" t="s">
        <v>251</v>
      </c>
      <c r="E12" s="3"/>
    </row>
    <row r="13" spans="1:5" ht="12.75">
      <c r="A13" s="82"/>
      <c r="B13" s="189" t="s">
        <v>229</v>
      </c>
      <c r="C13" s="184" t="s">
        <v>252</v>
      </c>
      <c r="D13" s="190" t="s">
        <v>253</v>
      </c>
      <c r="E13" s="3"/>
    </row>
    <row r="14" spans="1:5" ht="25.5">
      <c r="A14" s="82"/>
      <c r="B14" s="189" t="s">
        <v>230</v>
      </c>
      <c r="C14" s="184" t="s">
        <v>247</v>
      </c>
      <c r="D14" s="190" t="s">
        <v>254</v>
      </c>
      <c r="E14" s="3"/>
    </row>
    <row r="15" spans="1:5" ht="25.5">
      <c r="A15" s="82"/>
      <c r="B15" s="189" t="s">
        <v>127</v>
      </c>
      <c r="C15" s="184" t="s">
        <v>248</v>
      </c>
      <c r="D15" s="190" t="s">
        <v>255</v>
      </c>
      <c r="E15" s="3"/>
    </row>
    <row r="16" spans="1:5" ht="25.5">
      <c r="A16" s="82"/>
      <c r="B16" s="189" t="s">
        <v>163</v>
      </c>
      <c r="C16" s="184" t="s">
        <v>256</v>
      </c>
      <c r="D16" s="190" t="s">
        <v>98</v>
      </c>
      <c r="E16" s="3"/>
    </row>
    <row r="17" spans="1:5" ht="12.75">
      <c r="A17" s="82"/>
      <c r="B17" s="189" t="s">
        <v>231</v>
      </c>
      <c r="C17" s="184" t="s">
        <v>239</v>
      </c>
      <c r="D17" s="190" t="s">
        <v>60</v>
      </c>
      <c r="E17" s="3"/>
    </row>
    <row r="18" spans="1:5" ht="25.5">
      <c r="A18" s="82"/>
      <c r="B18" s="189" t="s">
        <v>238</v>
      </c>
      <c r="C18" s="184" t="s">
        <v>240</v>
      </c>
      <c r="D18" s="190" t="s">
        <v>60</v>
      </c>
      <c r="E18" s="3"/>
    </row>
    <row r="19" spans="1:5" ht="25.5">
      <c r="A19" s="82"/>
      <c r="B19" s="189" t="s">
        <v>232</v>
      </c>
      <c r="C19" s="184" t="s">
        <v>241</v>
      </c>
      <c r="D19" s="190" t="s">
        <v>60</v>
      </c>
      <c r="E19" s="3"/>
    </row>
    <row r="20" spans="1:5" ht="25.5">
      <c r="A20" s="82"/>
      <c r="B20" s="189" t="s">
        <v>233</v>
      </c>
      <c r="C20" s="184" t="s">
        <v>242</v>
      </c>
      <c r="D20" s="190" t="s">
        <v>60</v>
      </c>
      <c r="E20" s="3"/>
    </row>
    <row r="21" spans="1:5" ht="12.75">
      <c r="A21" s="82"/>
      <c r="B21" s="189" t="s">
        <v>234</v>
      </c>
      <c r="C21" s="184" t="s">
        <v>243</v>
      </c>
      <c r="D21" s="190" t="s">
        <v>60</v>
      </c>
      <c r="E21" s="3"/>
    </row>
    <row r="22" spans="1:5" ht="25.5">
      <c r="A22" s="82"/>
      <c r="B22" s="189" t="s">
        <v>235</v>
      </c>
      <c r="C22" s="184" t="s">
        <v>244</v>
      </c>
      <c r="D22" s="190" t="s">
        <v>60</v>
      </c>
      <c r="E22" s="3"/>
    </row>
    <row r="23" spans="1:5" ht="12.75">
      <c r="A23" s="82"/>
      <c r="B23" s="82"/>
      <c r="C23" s="82"/>
      <c r="D23" s="82"/>
      <c r="E23" s="3"/>
    </row>
    <row r="24" spans="1:5" ht="12.75">
      <c r="A24" s="82"/>
      <c r="B24" s="82"/>
      <c r="C24" s="82"/>
      <c r="D24" s="82"/>
      <c r="E24" s="3"/>
    </row>
    <row r="25" spans="1:5" ht="12.75">
      <c r="A25" s="82"/>
      <c r="B25" s="3"/>
      <c r="C25" s="3"/>
      <c r="D25" s="3"/>
      <c r="E25" s="3"/>
    </row>
    <row r="26" spans="1:5" ht="12.75">
      <c r="A26" s="3"/>
      <c r="B26" s="3"/>
      <c r="C26" s="3"/>
      <c r="D26" s="3"/>
      <c r="E26" s="3"/>
    </row>
    <row r="27" spans="1:5" ht="12.75">
      <c r="A27" s="3"/>
      <c r="B27" s="3"/>
      <c r="C27" s="3"/>
      <c r="D27" s="3"/>
      <c r="E27" s="3"/>
    </row>
    <row r="28" spans="1:5" ht="12.75">
      <c r="A28" s="3"/>
      <c r="B28" s="3"/>
      <c r="C28" s="3"/>
      <c r="D28" s="3"/>
      <c r="E28" s="3"/>
    </row>
    <row r="29" spans="1:5" ht="12.75">
      <c r="A29" s="3"/>
      <c r="B29" s="3"/>
      <c r="C29" s="3"/>
      <c r="D29" s="3"/>
      <c r="E29" s="3"/>
    </row>
    <row r="30" spans="1:5" ht="12.75">
      <c r="A30" s="3"/>
      <c r="B30" s="3"/>
      <c r="C30" s="3"/>
      <c r="D30" s="3"/>
      <c r="E30" s="3"/>
    </row>
    <row r="31" spans="1:5" ht="12.75">
      <c r="A31" s="3"/>
      <c r="B31" s="3"/>
      <c r="C31" s="3"/>
      <c r="D31" s="3"/>
      <c r="E31" s="3"/>
    </row>
  </sheetData>
  <sheetProtection sheet="1" objects="1" scenarios="1"/>
  <printOptions/>
  <pageMargins left="0.75" right="0.75" top="1" bottom="1" header="0.5" footer="0.5"/>
  <pageSetup horizontalDpi="600" verticalDpi="600" orientation="portrait" scale="120" r:id="rId2"/>
  <headerFooter alignWithMargins="0">
    <oddFooter>&amp;L&amp;"Arial,Italic"&amp;5Yaskawa Electric America
2121 Norman Dr. South
Waukegan, IL  60085&amp;C&amp;8&amp;F
(c) Yaskawa Electric America&amp;R&amp;"Arial,Italic"&amp;5Created by
Yaskawa Electric America
Technical Training Services</oddFooter>
  </headerFooter>
  <drawing r:id="rId1"/>
</worksheet>
</file>

<file path=xl/worksheets/sheet10.xml><?xml version="1.0" encoding="utf-8"?>
<worksheet xmlns="http://schemas.openxmlformats.org/spreadsheetml/2006/main" xmlns:r="http://schemas.openxmlformats.org/officeDocument/2006/relationships">
  <sheetPr codeName="Sheet11"/>
  <dimension ref="A1:I55"/>
  <sheetViews>
    <sheetView workbookViewId="0" topLeftCell="A1">
      <selection activeCell="J47" sqref="J47"/>
    </sheetView>
  </sheetViews>
  <sheetFormatPr defaultColWidth="9.140625" defaultRowHeight="12.75"/>
  <cols>
    <col min="10" max="16" width="9.140625" style="3" customWidth="1"/>
  </cols>
  <sheetData>
    <row r="1" spans="1:9" ht="12.75">
      <c r="A1" s="3"/>
      <c r="B1" s="3"/>
      <c r="C1" s="3"/>
      <c r="D1" s="3"/>
      <c r="E1" s="3"/>
      <c r="F1" s="3"/>
      <c r="G1" s="3"/>
      <c r="H1" s="3"/>
      <c r="I1" s="3"/>
    </row>
    <row r="2" spans="1:9" ht="12.75">
      <c r="A2" s="3"/>
      <c r="B2" s="3"/>
      <c r="C2" s="3"/>
      <c r="D2" s="3"/>
      <c r="E2" s="3"/>
      <c r="F2" s="3"/>
      <c r="G2" s="3"/>
      <c r="H2" s="3"/>
      <c r="I2" s="3"/>
    </row>
    <row r="3" spans="1:9" ht="12.75">
      <c r="A3" s="3"/>
      <c r="B3" s="3"/>
      <c r="C3" s="3"/>
      <c r="D3" s="3"/>
      <c r="E3" s="3"/>
      <c r="F3" s="3"/>
      <c r="G3" s="3"/>
      <c r="H3" s="3"/>
      <c r="I3" s="3"/>
    </row>
    <row r="4" spans="1:9" ht="18">
      <c r="A4" s="2" t="s">
        <v>81</v>
      </c>
      <c r="B4" s="3"/>
      <c r="C4" s="3"/>
      <c r="D4" s="3"/>
      <c r="E4" s="3"/>
      <c r="F4" s="3"/>
      <c r="G4" s="3"/>
      <c r="H4" s="3"/>
      <c r="I4" s="3"/>
    </row>
    <row r="5" spans="1:9" ht="12.75">
      <c r="A5" s="80" t="s">
        <v>82</v>
      </c>
      <c r="B5" s="3"/>
      <c r="C5" s="3"/>
      <c r="D5" s="3"/>
      <c r="E5" s="3"/>
      <c r="F5" s="3"/>
      <c r="G5" s="3"/>
      <c r="H5" s="3"/>
      <c r="I5" s="3"/>
    </row>
    <row r="6" spans="1:9" ht="12.75">
      <c r="A6" s="3"/>
      <c r="B6" s="3"/>
      <c r="C6" s="3"/>
      <c r="D6" s="3"/>
      <c r="E6" s="3"/>
      <c r="F6" s="3"/>
      <c r="G6" s="3"/>
      <c r="H6" s="3"/>
      <c r="I6" s="3"/>
    </row>
    <row r="7" spans="1:9" ht="12.75">
      <c r="A7" s="3" t="s">
        <v>83</v>
      </c>
      <c r="B7" s="3"/>
      <c r="C7" s="3"/>
      <c r="D7" s="3"/>
      <c r="E7" s="3"/>
      <c r="F7" s="3"/>
      <c r="G7" s="3"/>
      <c r="H7" s="3"/>
      <c r="I7" s="3"/>
    </row>
    <row r="8" spans="1:9" ht="12.75">
      <c r="A8" s="3"/>
      <c r="B8" s="3"/>
      <c r="C8" s="3"/>
      <c r="D8" s="3"/>
      <c r="E8" s="3"/>
      <c r="F8" s="3"/>
      <c r="G8" s="3"/>
      <c r="H8" s="3"/>
      <c r="I8" s="3"/>
    </row>
    <row r="9" spans="1:9" ht="12.75">
      <c r="A9" s="3"/>
      <c r="B9" s="3"/>
      <c r="C9" s="3"/>
      <c r="D9" s="3"/>
      <c r="E9" s="3"/>
      <c r="F9" s="3"/>
      <c r="G9" s="3"/>
      <c r="H9" s="3"/>
      <c r="I9" s="3"/>
    </row>
    <row r="10" spans="1:9" ht="12.75">
      <c r="A10" s="3"/>
      <c r="B10" s="3"/>
      <c r="C10" s="3"/>
      <c r="D10" s="3"/>
      <c r="E10" s="3"/>
      <c r="F10" s="3"/>
      <c r="G10" s="3"/>
      <c r="H10" s="3"/>
      <c r="I10" s="3"/>
    </row>
    <row r="11" spans="1:9" ht="12.75">
      <c r="A11" s="3"/>
      <c r="B11" s="3"/>
      <c r="C11" s="3"/>
      <c r="D11" s="3"/>
      <c r="E11" s="3"/>
      <c r="F11" s="3"/>
      <c r="G11" s="3"/>
      <c r="H11" s="3"/>
      <c r="I11" s="3"/>
    </row>
    <row r="12" spans="1:9" ht="12.75">
      <c r="A12" s="3"/>
      <c r="B12" s="3"/>
      <c r="C12" s="3"/>
      <c r="D12" s="3"/>
      <c r="E12" s="3"/>
      <c r="F12" s="3"/>
      <c r="G12" s="3"/>
      <c r="H12" s="3"/>
      <c r="I12" s="3"/>
    </row>
    <row r="13" spans="1:9" ht="12.75">
      <c r="A13" s="3"/>
      <c r="B13" s="3"/>
      <c r="C13" s="3"/>
      <c r="D13" s="3"/>
      <c r="E13" s="3"/>
      <c r="F13" s="3"/>
      <c r="G13" s="3"/>
      <c r="H13" s="3"/>
      <c r="I13" s="3"/>
    </row>
    <row r="14" spans="1:9" ht="12.75">
      <c r="A14" s="3"/>
      <c r="B14" s="3"/>
      <c r="C14" s="3"/>
      <c r="D14" s="3"/>
      <c r="E14" s="3"/>
      <c r="F14" s="3"/>
      <c r="G14" s="3"/>
      <c r="H14" s="3"/>
      <c r="I14" s="3"/>
    </row>
    <row r="15" spans="1:9" ht="12.75">
      <c r="A15" s="3"/>
      <c r="B15" s="3"/>
      <c r="C15" s="3"/>
      <c r="D15" s="3"/>
      <c r="E15" s="3"/>
      <c r="F15" s="3"/>
      <c r="G15" s="3"/>
      <c r="H15" s="3"/>
      <c r="I15" s="3"/>
    </row>
    <row r="16" spans="1:9" ht="12.75">
      <c r="A16" s="3"/>
      <c r="B16" s="3"/>
      <c r="C16" s="3"/>
      <c r="D16" s="3"/>
      <c r="E16" s="3"/>
      <c r="F16" s="3"/>
      <c r="G16" s="3"/>
      <c r="H16" s="3"/>
      <c r="I16" s="3"/>
    </row>
    <row r="17" spans="1:9" ht="12.75">
      <c r="A17" s="3"/>
      <c r="B17" s="3"/>
      <c r="C17" s="3"/>
      <c r="D17" s="3"/>
      <c r="E17" s="3"/>
      <c r="F17" s="3"/>
      <c r="G17" s="3"/>
      <c r="H17" s="3"/>
      <c r="I17" s="3"/>
    </row>
    <row r="18" spans="1:9" ht="12.75">
      <c r="A18" s="3"/>
      <c r="B18" s="3"/>
      <c r="C18" s="3"/>
      <c r="D18" s="3"/>
      <c r="E18" s="3"/>
      <c r="F18" s="3"/>
      <c r="G18" s="3"/>
      <c r="H18" s="3"/>
      <c r="I18" s="3"/>
    </row>
    <row r="19" spans="1:9" ht="12.75">
      <c r="A19" s="3" t="s">
        <v>84</v>
      </c>
      <c r="B19" s="3"/>
      <c r="C19" s="3"/>
      <c r="D19" s="3"/>
      <c r="E19" s="3"/>
      <c r="F19" s="3"/>
      <c r="G19" s="3"/>
      <c r="H19" s="3"/>
      <c r="I19" s="3"/>
    </row>
    <row r="20" spans="1:9" ht="12.75">
      <c r="A20" s="3" t="s">
        <v>85</v>
      </c>
      <c r="B20" s="3"/>
      <c r="C20" s="3"/>
      <c r="D20" s="3"/>
      <c r="E20" s="3"/>
      <c r="F20" s="3"/>
      <c r="G20" s="3"/>
      <c r="H20" s="3"/>
      <c r="I20" s="3"/>
    </row>
    <row r="21" spans="1:9" ht="12.75">
      <c r="A21" s="3" t="s">
        <v>86</v>
      </c>
      <c r="B21" s="3"/>
      <c r="C21" s="3"/>
      <c r="D21" s="3"/>
      <c r="E21" s="3"/>
      <c r="F21" s="3"/>
      <c r="G21" s="3"/>
      <c r="H21" s="3"/>
      <c r="I21" s="3"/>
    </row>
    <row r="22" spans="1:9" ht="12.75">
      <c r="A22" s="3"/>
      <c r="B22" s="3"/>
      <c r="C22" s="3"/>
      <c r="D22" s="3"/>
      <c r="E22" s="3"/>
      <c r="F22" s="3"/>
      <c r="G22" s="3"/>
      <c r="H22" s="3"/>
      <c r="I22" s="3"/>
    </row>
    <row r="23" spans="1:9" ht="12.75">
      <c r="A23" s="3" t="s">
        <v>87</v>
      </c>
      <c r="B23" s="3"/>
      <c r="C23" s="3"/>
      <c r="D23" s="3"/>
      <c r="E23" s="3"/>
      <c r="F23" s="3"/>
      <c r="G23" s="3"/>
      <c r="H23" s="3"/>
      <c r="I23" s="3"/>
    </row>
    <row r="24" spans="1:9" ht="12.75">
      <c r="A24" s="3"/>
      <c r="B24" s="3"/>
      <c r="C24" s="3"/>
      <c r="D24" s="3"/>
      <c r="E24" s="3"/>
      <c r="F24" s="3"/>
      <c r="G24" s="3"/>
      <c r="H24" s="3"/>
      <c r="I24" s="3"/>
    </row>
    <row r="25" spans="1:9" ht="12.75">
      <c r="A25" s="3"/>
      <c r="B25" s="3"/>
      <c r="C25" s="3"/>
      <c r="D25" s="3"/>
      <c r="E25" s="3"/>
      <c r="F25" s="3"/>
      <c r="G25" s="3"/>
      <c r="H25" s="3"/>
      <c r="I25" s="3"/>
    </row>
    <row r="26" spans="1:9" ht="12.75">
      <c r="A26" s="3"/>
      <c r="B26" s="3"/>
      <c r="C26" s="3"/>
      <c r="D26" s="3"/>
      <c r="E26" s="3"/>
      <c r="F26" s="3"/>
      <c r="G26" s="3"/>
      <c r="H26" s="3"/>
      <c r="I26" s="3"/>
    </row>
    <row r="27" spans="1:9" ht="12.75">
      <c r="A27" s="3"/>
      <c r="B27" s="3"/>
      <c r="C27" s="3"/>
      <c r="D27" s="3"/>
      <c r="E27" s="3"/>
      <c r="F27" s="3"/>
      <c r="G27" s="3"/>
      <c r="H27" s="3"/>
      <c r="I27" s="3"/>
    </row>
    <row r="28" spans="1:9" ht="12.75">
      <c r="A28" s="3"/>
      <c r="B28" s="3"/>
      <c r="C28" s="3"/>
      <c r="D28" s="3"/>
      <c r="E28" s="3"/>
      <c r="F28" s="3"/>
      <c r="G28" s="3"/>
      <c r="H28" s="3"/>
      <c r="I28" s="3"/>
    </row>
    <row r="29" spans="1:9" ht="12.75">
      <c r="A29" s="3"/>
      <c r="B29" s="3"/>
      <c r="C29" s="3"/>
      <c r="D29" s="3"/>
      <c r="E29" s="3"/>
      <c r="F29" s="3"/>
      <c r="G29" s="3"/>
      <c r="H29" s="3"/>
      <c r="I29" s="3"/>
    </row>
    <row r="30" spans="1:9" ht="12.75">
      <c r="A30" s="3"/>
      <c r="B30" s="3"/>
      <c r="C30" s="3"/>
      <c r="D30" s="3"/>
      <c r="E30" s="3"/>
      <c r="F30" s="3"/>
      <c r="G30" s="3"/>
      <c r="H30" s="3"/>
      <c r="I30" s="3"/>
    </row>
    <row r="31" spans="1:9" ht="12.75">
      <c r="A31" s="3"/>
      <c r="B31" s="3"/>
      <c r="C31" s="3"/>
      <c r="D31" s="3"/>
      <c r="E31" s="3"/>
      <c r="F31" s="3"/>
      <c r="G31" s="3"/>
      <c r="H31" s="3"/>
      <c r="I31" s="3"/>
    </row>
    <row r="32" spans="1:9" ht="12.75">
      <c r="A32" s="3"/>
      <c r="B32" s="3"/>
      <c r="C32" s="3"/>
      <c r="D32" s="3"/>
      <c r="E32" s="3"/>
      <c r="F32" s="3"/>
      <c r="G32" s="3"/>
      <c r="H32" s="3"/>
      <c r="I32" s="3"/>
    </row>
    <row r="33" spans="1:9" ht="12.75">
      <c r="A33" s="3"/>
      <c r="B33" s="3"/>
      <c r="C33" s="3"/>
      <c r="D33" s="3"/>
      <c r="E33" s="3"/>
      <c r="F33" s="3"/>
      <c r="G33" s="3"/>
      <c r="H33" s="3"/>
      <c r="I33" s="3"/>
    </row>
    <row r="34" spans="1:9" ht="12.75">
      <c r="A34" s="3"/>
      <c r="B34" s="3"/>
      <c r="C34" s="3"/>
      <c r="D34" s="3"/>
      <c r="E34" s="3"/>
      <c r="F34" s="3"/>
      <c r="G34" s="3"/>
      <c r="H34" s="3"/>
      <c r="I34" s="3"/>
    </row>
    <row r="35" spans="1:9" ht="12.75">
      <c r="A35" s="3" t="s">
        <v>88</v>
      </c>
      <c r="B35" s="3"/>
      <c r="C35" s="3"/>
      <c r="D35" s="3"/>
      <c r="E35" s="3"/>
      <c r="F35" s="3"/>
      <c r="G35" s="3"/>
      <c r="H35" s="3"/>
      <c r="I35" s="3"/>
    </row>
    <row r="36" spans="1:9" ht="12.75">
      <c r="A36" s="3" t="s">
        <v>89</v>
      </c>
      <c r="B36" s="3"/>
      <c r="C36" s="3"/>
      <c r="D36" s="3"/>
      <c r="E36" s="3"/>
      <c r="F36" s="3"/>
      <c r="G36" s="3"/>
      <c r="H36" s="3"/>
      <c r="I36" s="3"/>
    </row>
    <row r="37" spans="1:9" ht="12.75">
      <c r="A37" s="3" t="s">
        <v>90</v>
      </c>
      <c r="B37" s="3"/>
      <c r="C37" s="3"/>
      <c r="D37" s="3"/>
      <c r="E37" s="3"/>
      <c r="F37" s="3"/>
      <c r="G37" s="3"/>
      <c r="H37" s="3"/>
      <c r="I37" s="3"/>
    </row>
    <row r="38" spans="1:9" ht="12.75">
      <c r="A38" s="3"/>
      <c r="B38" s="3"/>
      <c r="C38" s="3"/>
      <c r="D38" s="3"/>
      <c r="E38" s="3"/>
      <c r="F38" s="3"/>
      <c r="G38" s="3"/>
      <c r="H38" s="3"/>
      <c r="I38" s="3"/>
    </row>
    <row r="39" spans="1:9" ht="12.75">
      <c r="A39" s="3" t="s">
        <v>91</v>
      </c>
      <c r="B39" s="3"/>
      <c r="C39" s="3"/>
      <c r="D39" s="3"/>
      <c r="E39" s="3"/>
      <c r="F39" s="3"/>
      <c r="G39" s="3"/>
      <c r="H39" s="3"/>
      <c r="I39" s="3"/>
    </row>
    <row r="40" spans="1:9" ht="12.75">
      <c r="A40" s="3" t="s">
        <v>92</v>
      </c>
      <c r="B40" s="3"/>
      <c r="C40" s="3"/>
      <c r="D40" s="3"/>
      <c r="E40" s="3"/>
      <c r="F40" s="3"/>
      <c r="G40" s="3"/>
      <c r="H40" s="3"/>
      <c r="I40" s="3"/>
    </row>
    <row r="41" spans="1:9" ht="12.75">
      <c r="A41" s="3" t="s">
        <v>93</v>
      </c>
      <c r="B41" s="3"/>
      <c r="C41" s="3"/>
      <c r="D41" s="3"/>
      <c r="E41" s="3"/>
      <c r="F41" s="3"/>
      <c r="G41" s="3"/>
      <c r="H41" s="3"/>
      <c r="I41" s="3"/>
    </row>
    <row r="42" spans="1:9" ht="12.75">
      <c r="A42" s="3"/>
      <c r="B42" s="3" t="s">
        <v>94</v>
      </c>
      <c r="C42" s="3"/>
      <c r="D42" s="3"/>
      <c r="E42" s="3"/>
      <c r="F42" s="3"/>
      <c r="G42" s="3"/>
      <c r="H42" s="3"/>
      <c r="I42" s="3"/>
    </row>
    <row r="43" spans="1:9" ht="12.75">
      <c r="A43" s="3"/>
      <c r="B43" s="3" t="s">
        <v>95</v>
      </c>
      <c r="C43" s="3"/>
      <c r="D43" s="3"/>
      <c r="E43" s="3"/>
      <c r="F43" s="3"/>
      <c r="G43" s="3"/>
      <c r="H43" s="3"/>
      <c r="I43" s="3"/>
    </row>
    <row r="44" spans="1:9" ht="12.75">
      <c r="A44" s="3"/>
      <c r="B44" s="3" t="s">
        <v>96</v>
      </c>
      <c r="C44" s="3"/>
      <c r="D44" s="3"/>
      <c r="E44" s="3"/>
      <c r="F44" s="3"/>
      <c r="G44" s="3"/>
      <c r="H44" s="3"/>
      <c r="I44" s="3"/>
    </row>
    <row r="45" spans="1:9" ht="12.75">
      <c r="A45" s="3"/>
      <c r="B45" s="3"/>
      <c r="C45" s="3"/>
      <c r="D45" s="3"/>
      <c r="E45" s="3"/>
      <c r="F45" s="3"/>
      <c r="G45" s="3"/>
      <c r="H45" s="3"/>
      <c r="I45" s="3"/>
    </row>
    <row r="46" spans="1:9" ht="12.75">
      <c r="A46" s="3"/>
      <c r="B46" s="3"/>
      <c r="C46" s="3"/>
      <c r="D46" s="3"/>
      <c r="E46" s="3"/>
      <c r="F46" s="3"/>
      <c r="G46" s="3"/>
      <c r="H46" s="3"/>
      <c r="I46" s="3"/>
    </row>
    <row r="47" spans="1:9" ht="12.75">
      <c r="A47" s="3"/>
      <c r="B47" s="3"/>
      <c r="C47" s="3"/>
      <c r="D47" s="3"/>
      <c r="E47" s="3"/>
      <c r="F47" s="3"/>
      <c r="G47" s="3"/>
      <c r="H47" s="3"/>
      <c r="I47" s="3"/>
    </row>
    <row r="48" spans="1:9" ht="12.75">
      <c r="A48" s="3"/>
      <c r="B48" s="3"/>
      <c r="C48" s="3"/>
      <c r="D48" s="3"/>
      <c r="E48" s="3"/>
      <c r="F48" s="3"/>
      <c r="G48" s="3"/>
      <c r="H48" s="3"/>
      <c r="I48" s="3"/>
    </row>
    <row r="49" spans="1:9" ht="12.75">
      <c r="A49" s="3"/>
      <c r="B49" s="3"/>
      <c r="C49" s="3"/>
      <c r="D49" s="3"/>
      <c r="E49" s="3"/>
      <c r="F49" s="3"/>
      <c r="G49" s="3"/>
      <c r="H49" s="3"/>
      <c r="I49" s="3"/>
    </row>
    <row r="50" spans="1:9" ht="12.75">
      <c r="A50" s="3"/>
      <c r="B50" s="3"/>
      <c r="C50" s="3"/>
      <c r="D50" s="3"/>
      <c r="E50" s="3"/>
      <c r="F50" s="3"/>
      <c r="G50" s="3"/>
      <c r="H50" s="3"/>
      <c r="I50" s="3"/>
    </row>
    <row r="51" spans="1:9" ht="12.75">
      <c r="A51" s="3"/>
      <c r="B51" s="3"/>
      <c r="C51" s="3"/>
      <c r="D51" s="3"/>
      <c r="E51" s="3"/>
      <c r="F51" s="3"/>
      <c r="G51" s="3"/>
      <c r="H51" s="3"/>
      <c r="I51" s="3"/>
    </row>
    <row r="52" spans="1:9" ht="12.75">
      <c r="A52" s="3"/>
      <c r="B52" s="3"/>
      <c r="C52" s="3"/>
      <c r="D52" s="3"/>
      <c r="E52" s="3"/>
      <c r="F52" s="3"/>
      <c r="G52" s="3"/>
      <c r="H52" s="3"/>
      <c r="I52" s="3"/>
    </row>
    <row r="53" spans="1:9" ht="12.75">
      <c r="A53" s="3"/>
      <c r="B53" s="3"/>
      <c r="C53" s="3"/>
      <c r="D53" s="3"/>
      <c r="E53" s="3"/>
      <c r="F53" s="3"/>
      <c r="G53" s="3"/>
      <c r="H53" s="3"/>
      <c r="I53" s="3"/>
    </row>
    <row r="54" spans="1:9" ht="12.75">
      <c r="A54" s="3"/>
      <c r="B54" s="3"/>
      <c r="C54" s="3"/>
      <c r="D54" s="3"/>
      <c r="E54" s="3"/>
      <c r="F54" s="3"/>
      <c r="G54" s="3"/>
      <c r="H54" s="3"/>
      <c r="I54" s="3"/>
    </row>
    <row r="55" spans="1:9" ht="12.75">
      <c r="A55" s="3"/>
      <c r="B55" s="3"/>
      <c r="C55" s="3"/>
      <c r="D55" s="3"/>
      <c r="E55" s="3"/>
      <c r="F55" s="3"/>
      <c r="G55" s="3"/>
      <c r="H55" s="3"/>
      <c r="I55" s="3"/>
    </row>
  </sheetData>
  <printOptions/>
  <pageMargins left="0.75" right="0.75" top="1" bottom="1" header="0.5" footer="0.5"/>
  <pageSetup horizontalDpi="600" verticalDpi="600" orientation="portrait" scale="110" r:id="rId2"/>
  <drawing r:id="rId1"/>
</worksheet>
</file>

<file path=xl/worksheets/sheet11.xml><?xml version="1.0" encoding="utf-8"?>
<worksheet xmlns="http://schemas.openxmlformats.org/spreadsheetml/2006/main" xmlns:r="http://schemas.openxmlformats.org/officeDocument/2006/relationships">
  <sheetPr codeName="Sheet12"/>
  <dimension ref="A1:R38"/>
  <sheetViews>
    <sheetView zoomScaleSheetLayoutView="120" workbookViewId="0" topLeftCell="A1">
      <selection activeCell="G9" sqref="G9"/>
    </sheetView>
  </sheetViews>
  <sheetFormatPr defaultColWidth="9.140625" defaultRowHeight="12.75"/>
  <cols>
    <col min="1" max="1" width="8.57421875" style="0" customWidth="1"/>
    <col min="2" max="2" width="8.7109375" style="0" customWidth="1"/>
    <col min="4" max="4" width="9.57421875" style="0" customWidth="1"/>
    <col min="5" max="5" width="7.421875" style="0" customWidth="1"/>
    <col min="6" max="6" width="8.57421875" style="0" customWidth="1"/>
    <col min="7" max="7" width="8.28125" style="0" customWidth="1"/>
    <col min="9" max="9" width="10.00390625" style="0" customWidth="1"/>
    <col min="11" max="16" width="4.7109375" style="0" customWidth="1"/>
    <col min="17" max="17" width="30.28125" style="0" customWidth="1"/>
  </cols>
  <sheetData>
    <row r="1" spans="1:17" ht="24" customHeight="1">
      <c r="A1" s="3"/>
      <c r="B1" s="3"/>
      <c r="C1" s="3"/>
      <c r="D1" s="3"/>
      <c r="E1" s="3"/>
      <c r="F1" s="3"/>
      <c r="G1" s="3"/>
      <c r="H1" s="3"/>
      <c r="I1" s="3"/>
      <c r="J1" s="3"/>
      <c r="K1" s="3"/>
      <c r="L1" s="3"/>
      <c r="M1" s="3"/>
      <c r="N1" s="3"/>
      <c r="O1" s="3"/>
      <c r="P1" s="3"/>
      <c r="Q1" s="3"/>
    </row>
    <row r="2" spans="1:17" ht="12.75">
      <c r="A2" s="3"/>
      <c r="B2" s="3"/>
      <c r="C2" s="3"/>
      <c r="D2" s="3"/>
      <c r="E2" s="3"/>
      <c r="F2" s="3"/>
      <c r="G2" s="3"/>
      <c r="H2" s="3"/>
      <c r="I2" s="3"/>
      <c r="J2" s="3"/>
      <c r="K2" s="3"/>
      <c r="L2" s="3"/>
      <c r="M2" s="3"/>
      <c r="N2" s="3"/>
      <c r="O2" s="3"/>
      <c r="P2" s="3"/>
      <c r="Q2" s="3"/>
    </row>
    <row r="3" spans="1:18" ht="38.25" customHeight="1">
      <c r="A3" s="259" t="s">
        <v>190</v>
      </c>
      <c r="B3" s="260"/>
      <c r="C3" s="260"/>
      <c r="D3" s="260"/>
      <c r="E3" s="260"/>
      <c r="F3" s="260"/>
      <c r="G3" s="260"/>
      <c r="H3" s="260"/>
      <c r="I3" s="260"/>
      <c r="J3" s="260"/>
      <c r="K3" s="260"/>
      <c r="L3" s="260"/>
      <c r="M3" s="260"/>
      <c r="N3" s="260"/>
      <c r="O3" s="260"/>
      <c r="P3" s="260"/>
      <c r="Q3" s="260"/>
      <c r="R3" s="3"/>
    </row>
    <row r="4" spans="1:18" ht="12.75">
      <c r="A4" s="3"/>
      <c r="B4" s="3"/>
      <c r="C4" s="3"/>
      <c r="D4" s="3"/>
      <c r="E4" s="3"/>
      <c r="F4" s="3"/>
      <c r="G4" s="3"/>
      <c r="H4" s="3"/>
      <c r="I4" s="3"/>
      <c r="J4" s="3"/>
      <c r="K4" s="3"/>
      <c r="L4" s="3"/>
      <c r="M4" s="3"/>
      <c r="N4" s="3"/>
      <c r="O4" s="3"/>
      <c r="P4" s="3"/>
      <c r="Q4" s="3"/>
      <c r="R4" s="3"/>
    </row>
    <row r="5" spans="1:18" ht="15">
      <c r="A5" s="270" t="s">
        <v>191</v>
      </c>
      <c r="B5" s="270"/>
      <c r="C5" s="144" t="s">
        <v>192</v>
      </c>
      <c r="D5" s="3"/>
      <c r="E5" s="3"/>
      <c r="F5" s="3"/>
      <c r="G5" s="3"/>
      <c r="H5" s="145"/>
      <c r="I5" s="3"/>
      <c r="J5" s="3"/>
      <c r="K5" s="3"/>
      <c r="L5" s="3"/>
      <c r="M5" s="3"/>
      <c r="N5" s="3"/>
      <c r="O5" s="3"/>
      <c r="P5" s="3"/>
      <c r="Q5" s="3"/>
      <c r="R5" s="3"/>
    </row>
    <row r="6" spans="1:18" ht="15.75">
      <c r="A6" s="270" t="s">
        <v>193</v>
      </c>
      <c r="B6" s="270"/>
      <c r="C6" s="144" t="s">
        <v>226</v>
      </c>
      <c r="D6" s="3"/>
      <c r="E6" s="3"/>
      <c r="F6" s="3"/>
      <c r="G6" s="3"/>
      <c r="H6" s="3"/>
      <c r="I6" s="146"/>
      <c r="J6" s="3"/>
      <c r="K6" s="147"/>
      <c r="L6" s="147"/>
      <c r="M6" s="147"/>
      <c r="N6" s="147"/>
      <c r="O6" s="147"/>
      <c r="P6" s="147"/>
      <c r="Q6" s="3"/>
      <c r="R6" s="3"/>
    </row>
    <row r="7" spans="1:18" ht="15">
      <c r="A7" s="270" t="s">
        <v>194</v>
      </c>
      <c r="B7" s="270"/>
      <c r="C7" s="23" t="s">
        <v>195</v>
      </c>
      <c r="D7" s="3"/>
      <c r="E7" s="3"/>
      <c r="F7" s="3"/>
      <c r="G7" s="3"/>
      <c r="H7" s="3"/>
      <c r="I7" s="146"/>
      <c r="J7" s="3"/>
      <c r="K7" s="147"/>
      <c r="L7" s="147"/>
      <c r="M7" s="147"/>
      <c r="N7" s="147"/>
      <c r="O7" s="147"/>
      <c r="P7" s="147"/>
      <c r="Q7" s="3"/>
      <c r="R7" s="3"/>
    </row>
    <row r="8" spans="1:18" ht="15">
      <c r="A8" s="143"/>
      <c r="B8" s="143"/>
      <c r="C8" s="148" t="s">
        <v>196</v>
      </c>
      <c r="D8" s="149"/>
      <c r="E8" s="3"/>
      <c r="F8" s="3"/>
      <c r="G8" s="3"/>
      <c r="H8" s="3"/>
      <c r="I8" s="146"/>
      <c r="J8" s="3"/>
      <c r="K8" s="147"/>
      <c r="L8" s="147"/>
      <c r="M8" s="147"/>
      <c r="N8" s="147"/>
      <c r="O8" s="147"/>
      <c r="P8" s="147"/>
      <c r="Q8" s="3"/>
      <c r="R8" s="3"/>
    </row>
    <row r="9" spans="1:18" ht="15">
      <c r="A9" s="150"/>
      <c r="B9" s="150"/>
      <c r="C9" s="51"/>
      <c r="D9" s="51"/>
      <c r="E9" s="51"/>
      <c r="F9" s="3"/>
      <c r="G9" s="3"/>
      <c r="H9" s="3"/>
      <c r="I9" s="146"/>
      <c r="K9" s="147"/>
      <c r="L9" s="147"/>
      <c r="M9" s="147"/>
      <c r="N9" s="147"/>
      <c r="O9" s="147"/>
      <c r="P9" s="147"/>
      <c r="Q9" s="3"/>
      <c r="R9" s="3"/>
    </row>
    <row r="10" spans="1:18" ht="15.75" thickBot="1">
      <c r="A10" s="280"/>
      <c r="B10" s="280"/>
      <c r="C10" s="280"/>
      <c r="D10" s="280"/>
      <c r="E10" s="280"/>
      <c r="F10" s="3"/>
      <c r="G10" s="3"/>
      <c r="H10" s="3"/>
      <c r="I10" s="3"/>
      <c r="J10" s="3"/>
      <c r="K10" s="3"/>
      <c r="L10" s="3"/>
      <c r="M10" s="3"/>
      <c r="N10" s="3"/>
      <c r="O10" s="3"/>
      <c r="P10" s="3"/>
      <c r="Q10" s="3"/>
      <c r="R10" s="3"/>
    </row>
    <row r="11" spans="1:18" ht="13.5" thickBot="1">
      <c r="A11" s="271" t="s">
        <v>197</v>
      </c>
      <c r="B11" s="274" t="s">
        <v>198</v>
      </c>
      <c r="C11" s="275"/>
      <c r="D11" s="276"/>
      <c r="E11" s="277" t="s">
        <v>199</v>
      </c>
      <c r="F11" s="278"/>
      <c r="G11" s="278"/>
      <c r="H11" s="279"/>
      <c r="I11" s="277" t="s">
        <v>200</v>
      </c>
      <c r="J11" s="278"/>
      <c r="K11" s="151"/>
      <c r="L11" s="152"/>
      <c r="M11" s="152"/>
      <c r="N11" s="152"/>
      <c r="O11" s="152"/>
      <c r="P11" s="152"/>
      <c r="Q11" s="153" t="s">
        <v>201</v>
      </c>
      <c r="R11" s="3"/>
    </row>
    <row r="12" spans="1:18" ht="12.75" customHeight="1">
      <c r="A12" s="272"/>
      <c r="B12" s="263" t="s">
        <v>202</v>
      </c>
      <c r="C12" s="261" t="s">
        <v>203</v>
      </c>
      <c r="D12" s="262"/>
      <c r="E12" s="265" t="s">
        <v>204</v>
      </c>
      <c r="F12" s="261" t="s">
        <v>205</v>
      </c>
      <c r="G12" s="261" t="s">
        <v>206</v>
      </c>
      <c r="H12" s="262"/>
      <c r="I12" s="263" t="s">
        <v>204</v>
      </c>
      <c r="J12" s="196" t="s">
        <v>266</v>
      </c>
      <c r="K12" s="284" t="s">
        <v>207</v>
      </c>
      <c r="L12" s="281" t="s">
        <v>208</v>
      </c>
      <c r="M12" s="281" t="s">
        <v>209</v>
      </c>
      <c r="N12" s="281" t="s">
        <v>210</v>
      </c>
      <c r="O12" s="281" t="s">
        <v>211</v>
      </c>
      <c r="P12" s="281" t="s">
        <v>212</v>
      </c>
      <c r="Q12" s="268" t="s">
        <v>213</v>
      </c>
      <c r="R12" s="3"/>
    </row>
    <row r="13" spans="1:18" ht="12.75">
      <c r="A13" s="272"/>
      <c r="B13" s="264"/>
      <c r="C13" s="154" t="s">
        <v>214</v>
      </c>
      <c r="D13" s="155" t="s">
        <v>215</v>
      </c>
      <c r="E13" s="266"/>
      <c r="F13" s="267"/>
      <c r="G13" s="154" t="s">
        <v>216</v>
      </c>
      <c r="H13" s="155" t="s">
        <v>107</v>
      </c>
      <c r="I13" s="264"/>
      <c r="J13" s="155" t="s">
        <v>265</v>
      </c>
      <c r="K13" s="285"/>
      <c r="L13" s="282"/>
      <c r="M13" s="282"/>
      <c r="N13" s="282"/>
      <c r="O13" s="282"/>
      <c r="P13" s="282"/>
      <c r="Q13" s="268"/>
      <c r="R13" s="3"/>
    </row>
    <row r="14" spans="1:18" s="33" customFormat="1" ht="13.5" thickBot="1">
      <c r="A14" s="273"/>
      <c r="B14" s="156" t="s">
        <v>99</v>
      </c>
      <c r="C14" s="157" t="s">
        <v>217</v>
      </c>
      <c r="D14" s="158" t="s">
        <v>218</v>
      </c>
      <c r="E14" s="156" t="s">
        <v>100</v>
      </c>
      <c r="F14" s="157" t="s">
        <v>101</v>
      </c>
      <c r="G14" s="157" t="s">
        <v>219</v>
      </c>
      <c r="H14" s="159" t="s">
        <v>220</v>
      </c>
      <c r="I14" s="156" t="s">
        <v>102</v>
      </c>
      <c r="J14" s="158" t="s">
        <v>221</v>
      </c>
      <c r="K14" s="286"/>
      <c r="L14" s="283"/>
      <c r="M14" s="283"/>
      <c r="N14" s="283"/>
      <c r="O14" s="283"/>
      <c r="P14" s="283"/>
      <c r="Q14" s="269"/>
      <c r="R14" s="87"/>
    </row>
    <row r="15" spans="1:18" s="83" customFormat="1" ht="16.5" thickBot="1">
      <c r="A15" s="208" t="s">
        <v>222</v>
      </c>
      <c r="B15" s="160"/>
      <c r="C15" s="161"/>
      <c r="D15" s="162"/>
      <c r="E15" s="160"/>
      <c r="F15" s="161"/>
      <c r="G15" s="161"/>
      <c r="H15" s="163"/>
      <c r="I15" s="160"/>
      <c r="J15" s="162"/>
      <c r="K15" s="164"/>
      <c r="L15" s="164"/>
      <c r="M15" s="164"/>
      <c r="N15" s="164"/>
      <c r="O15" s="164"/>
      <c r="P15" s="164"/>
      <c r="Q15" s="211"/>
      <c r="R15" s="82"/>
    </row>
    <row r="16" spans="1:18" s="83" customFormat="1" ht="64.5" thickBot="1">
      <c r="A16" s="209" t="s">
        <v>223</v>
      </c>
      <c r="B16" s="199" t="s">
        <v>269</v>
      </c>
      <c r="C16" s="200" t="s">
        <v>224</v>
      </c>
      <c r="D16" s="203"/>
      <c r="E16" s="203" t="s">
        <v>267</v>
      </c>
      <c r="F16" s="255" t="s">
        <v>268</v>
      </c>
      <c r="G16" s="256"/>
      <c r="H16" s="204" t="s">
        <v>225</v>
      </c>
      <c r="I16" s="257" t="s">
        <v>270</v>
      </c>
      <c r="J16" s="258"/>
      <c r="K16" s="210"/>
      <c r="L16" s="210"/>
      <c r="M16" s="210"/>
      <c r="N16" s="210"/>
      <c r="O16" s="210"/>
      <c r="P16" s="210"/>
      <c r="Q16" s="212"/>
      <c r="R16" s="82"/>
    </row>
    <row r="17" spans="1:18" s="223" customFormat="1" ht="15.75" customHeight="1">
      <c r="A17" s="216">
        <v>1</v>
      </c>
      <c r="B17" s="217"/>
      <c r="C17" s="218"/>
      <c r="D17" s="219"/>
      <c r="E17" s="217"/>
      <c r="F17" s="218"/>
      <c r="G17" s="218"/>
      <c r="H17" s="220"/>
      <c r="I17" s="217"/>
      <c r="J17" s="219"/>
      <c r="K17" s="221"/>
      <c r="L17" s="221"/>
      <c r="M17" s="221"/>
      <c r="N17" s="221"/>
      <c r="O17" s="221"/>
      <c r="P17" s="221"/>
      <c r="Q17" s="213"/>
      <c r="R17" s="222"/>
    </row>
    <row r="18" spans="1:18" s="83" customFormat="1" ht="15.75" customHeight="1">
      <c r="A18" s="206">
        <f aca="true" t="shared" si="0" ref="A18:A36">A17+1</f>
        <v>2</v>
      </c>
      <c r="B18" s="170"/>
      <c r="C18" s="171"/>
      <c r="D18" s="172"/>
      <c r="E18" s="170"/>
      <c r="F18" s="171"/>
      <c r="G18" s="171"/>
      <c r="H18" s="173"/>
      <c r="I18" s="170"/>
      <c r="J18" s="172"/>
      <c r="K18" s="174"/>
      <c r="L18" s="174"/>
      <c r="M18" s="174"/>
      <c r="N18" s="174"/>
      <c r="O18" s="174"/>
      <c r="P18" s="174"/>
      <c r="Q18" s="214"/>
      <c r="R18" s="82"/>
    </row>
    <row r="19" spans="1:18" s="83" customFormat="1" ht="15.75" customHeight="1">
      <c r="A19" s="205">
        <f t="shared" si="0"/>
        <v>3</v>
      </c>
      <c r="B19" s="165"/>
      <c r="C19" s="166"/>
      <c r="D19" s="167"/>
      <c r="E19" s="165"/>
      <c r="F19" s="166"/>
      <c r="G19" s="166"/>
      <c r="H19" s="168"/>
      <c r="I19" s="165"/>
      <c r="J19" s="167"/>
      <c r="K19" s="169"/>
      <c r="L19" s="169"/>
      <c r="M19" s="169"/>
      <c r="N19" s="169"/>
      <c r="O19" s="169"/>
      <c r="P19" s="169"/>
      <c r="Q19" s="213"/>
      <c r="R19" s="82"/>
    </row>
    <row r="20" spans="1:18" s="83" customFormat="1" ht="15.75" customHeight="1">
      <c r="A20" s="206">
        <f t="shared" si="0"/>
        <v>4</v>
      </c>
      <c r="B20" s="170"/>
      <c r="C20" s="171"/>
      <c r="D20" s="172"/>
      <c r="E20" s="170"/>
      <c r="F20" s="171"/>
      <c r="G20" s="171"/>
      <c r="H20" s="173"/>
      <c r="I20" s="170"/>
      <c r="J20" s="172"/>
      <c r="K20" s="174"/>
      <c r="L20" s="174"/>
      <c r="M20" s="174"/>
      <c r="N20" s="174"/>
      <c r="O20" s="174"/>
      <c r="P20" s="174"/>
      <c r="Q20" s="214"/>
      <c r="R20" s="82"/>
    </row>
    <row r="21" spans="1:18" s="83" customFormat="1" ht="15.75" customHeight="1">
      <c r="A21" s="205">
        <f t="shared" si="0"/>
        <v>5</v>
      </c>
      <c r="B21" s="165"/>
      <c r="C21" s="166"/>
      <c r="D21" s="167"/>
      <c r="E21" s="165"/>
      <c r="F21" s="166"/>
      <c r="G21" s="166"/>
      <c r="H21" s="168"/>
      <c r="I21" s="165"/>
      <c r="J21" s="167"/>
      <c r="K21" s="169"/>
      <c r="L21" s="169"/>
      <c r="M21" s="169"/>
      <c r="N21" s="169"/>
      <c r="O21" s="169"/>
      <c r="P21" s="169"/>
      <c r="Q21" s="213"/>
      <c r="R21" s="82"/>
    </row>
    <row r="22" spans="1:18" s="83" customFormat="1" ht="15.75" customHeight="1">
      <c r="A22" s="206">
        <f t="shared" si="0"/>
        <v>6</v>
      </c>
      <c r="B22" s="170"/>
      <c r="C22" s="171"/>
      <c r="D22" s="172"/>
      <c r="E22" s="170"/>
      <c r="F22" s="171"/>
      <c r="G22" s="171"/>
      <c r="H22" s="173"/>
      <c r="I22" s="170"/>
      <c r="J22" s="172"/>
      <c r="K22" s="174"/>
      <c r="L22" s="174"/>
      <c r="M22" s="174"/>
      <c r="N22" s="174"/>
      <c r="O22" s="174"/>
      <c r="P22" s="174"/>
      <c r="Q22" s="214"/>
      <c r="R22" s="82"/>
    </row>
    <row r="23" spans="1:18" s="83" customFormat="1" ht="15.75" customHeight="1">
      <c r="A23" s="205">
        <f t="shared" si="0"/>
        <v>7</v>
      </c>
      <c r="B23" s="165"/>
      <c r="C23" s="166"/>
      <c r="D23" s="167"/>
      <c r="E23" s="165"/>
      <c r="F23" s="166"/>
      <c r="G23" s="166"/>
      <c r="H23" s="168"/>
      <c r="I23" s="165"/>
      <c r="J23" s="167"/>
      <c r="K23" s="169"/>
      <c r="L23" s="169"/>
      <c r="M23" s="169"/>
      <c r="N23" s="169"/>
      <c r="O23" s="169"/>
      <c r="P23" s="169"/>
      <c r="Q23" s="213"/>
      <c r="R23" s="82"/>
    </row>
    <row r="24" spans="1:18" s="83" customFormat="1" ht="15.75" customHeight="1">
      <c r="A24" s="206">
        <f t="shared" si="0"/>
        <v>8</v>
      </c>
      <c r="B24" s="170"/>
      <c r="C24" s="171"/>
      <c r="D24" s="172"/>
      <c r="E24" s="170"/>
      <c r="F24" s="171"/>
      <c r="G24" s="171"/>
      <c r="H24" s="173"/>
      <c r="I24" s="170"/>
      <c r="J24" s="172"/>
      <c r="K24" s="174"/>
      <c r="L24" s="174"/>
      <c r="M24" s="174"/>
      <c r="N24" s="174"/>
      <c r="O24" s="174"/>
      <c r="P24" s="174"/>
      <c r="Q24" s="214"/>
      <c r="R24" s="82"/>
    </row>
    <row r="25" spans="1:18" s="83" customFormat="1" ht="15.75" customHeight="1">
      <c r="A25" s="205">
        <f t="shared" si="0"/>
        <v>9</v>
      </c>
      <c r="B25" s="165"/>
      <c r="C25" s="166"/>
      <c r="D25" s="167"/>
      <c r="E25" s="165"/>
      <c r="F25" s="166"/>
      <c r="G25" s="166"/>
      <c r="H25" s="168"/>
      <c r="I25" s="165"/>
      <c r="J25" s="167"/>
      <c r="K25" s="169"/>
      <c r="L25" s="169"/>
      <c r="M25" s="169"/>
      <c r="N25" s="169"/>
      <c r="O25" s="169"/>
      <c r="P25" s="169"/>
      <c r="Q25" s="213"/>
      <c r="R25" s="82"/>
    </row>
    <row r="26" spans="1:18" s="83" customFormat="1" ht="15.75" customHeight="1">
      <c r="A26" s="206">
        <f t="shared" si="0"/>
        <v>10</v>
      </c>
      <c r="B26" s="170"/>
      <c r="C26" s="171"/>
      <c r="D26" s="172"/>
      <c r="E26" s="170"/>
      <c r="F26" s="171"/>
      <c r="G26" s="171"/>
      <c r="H26" s="173"/>
      <c r="I26" s="170"/>
      <c r="J26" s="172"/>
      <c r="K26" s="174"/>
      <c r="L26" s="174"/>
      <c r="M26" s="174"/>
      <c r="N26" s="174"/>
      <c r="O26" s="174"/>
      <c r="P26" s="174"/>
      <c r="Q26" s="214"/>
      <c r="R26" s="82"/>
    </row>
    <row r="27" spans="1:18" s="83" customFormat="1" ht="15.75" customHeight="1">
      <c r="A27" s="205">
        <f t="shared" si="0"/>
        <v>11</v>
      </c>
      <c r="B27" s="165"/>
      <c r="C27" s="166"/>
      <c r="D27" s="167"/>
      <c r="E27" s="165"/>
      <c r="F27" s="166"/>
      <c r="G27" s="166"/>
      <c r="H27" s="168"/>
      <c r="I27" s="165"/>
      <c r="J27" s="167"/>
      <c r="K27" s="169"/>
      <c r="L27" s="169"/>
      <c r="M27" s="169"/>
      <c r="N27" s="169"/>
      <c r="O27" s="169"/>
      <c r="P27" s="169"/>
      <c r="Q27" s="213"/>
      <c r="R27" s="82"/>
    </row>
    <row r="28" spans="1:18" s="83" customFormat="1" ht="15.75" customHeight="1">
      <c r="A28" s="206">
        <f t="shared" si="0"/>
        <v>12</v>
      </c>
      <c r="B28" s="170"/>
      <c r="C28" s="171"/>
      <c r="D28" s="172"/>
      <c r="E28" s="170"/>
      <c r="F28" s="171"/>
      <c r="G28" s="171"/>
      <c r="H28" s="173"/>
      <c r="I28" s="170"/>
      <c r="J28" s="172"/>
      <c r="K28" s="174"/>
      <c r="L28" s="174"/>
      <c r="M28" s="174"/>
      <c r="N28" s="174"/>
      <c r="O28" s="174"/>
      <c r="P28" s="174"/>
      <c r="Q28" s="214"/>
      <c r="R28" s="82"/>
    </row>
    <row r="29" spans="1:18" s="83" customFormat="1" ht="15.75" customHeight="1">
      <c r="A29" s="205">
        <f t="shared" si="0"/>
        <v>13</v>
      </c>
      <c r="B29" s="165"/>
      <c r="C29" s="166"/>
      <c r="D29" s="167"/>
      <c r="E29" s="165"/>
      <c r="F29" s="166"/>
      <c r="G29" s="166"/>
      <c r="H29" s="168"/>
      <c r="I29" s="165"/>
      <c r="J29" s="167"/>
      <c r="K29" s="169"/>
      <c r="L29" s="169"/>
      <c r="M29" s="169"/>
      <c r="N29" s="169"/>
      <c r="O29" s="169"/>
      <c r="P29" s="169"/>
      <c r="Q29" s="213"/>
      <c r="R29" s="82"/>
    </row>
    <row r="30" spans="1:18" s="83" customFormat="1" ht="15.75" customHeight="1">
      <c r="A30" s="206">
        <f t="shared" si="0"/>
        <v>14</v>
      </c>
      <c r="B30" s="170"/>
      <c r="C30" s="171"/>
      <c r="D30" s="172"/>
      <c r="E30" s="170"/>
      <c r="F30" s="171"/>
      <c r="G30" s="171"/>
      <c r="H30" s="173"/>
      <c r="I30" s="170"/>
      <c r="J30" s="172"/>
      <c r="K30" s="174"/>
      <c r="L30" s="174"/>
      <c r="M30" s="174"/>
      <c r="N30" s="174"/>
      <c r="O30" s="174"/>
      <c r="P30" s="174"/>
      <c r="Q30" s="214"/>
      <c r="R30" s="82"/>
    </row>
    <row r="31" spans="1:18" s="83" customFormat="1" ht="15.75" customHeight="1">
      <c r="A31" s="205">
        <f t="shared" si="0"/>
        <v>15</v>
      </c>
      <c r="B31" s="165"/>
      <c r="C31" s="166"/>
      <c r="D31" s="167"/>
      <c r="E31" s="165"/>
      <c r="F31" s="166"/>
      <c r="G31" s="166"/>
      <c r="H31" s="168"/>
      <c r="I31" s="165"/>
      <c r="J31" s="167"/>
      <c r="K31" s="169"/>
      <c r="L31" s="169"/>
      <c r="M31" s="169"/>
      <c r="N31" s="169"/>
      <c r="O31" s="169"/>
      <c r="P31" s="169"/>
      <c r="Q31" s="213"/>
      <c r="R31" s="82"/>
    </row>
    <row r="32" spans="1:18" s="83" customFormat="1" ht="15.75" customHeight="1">
      <c r="A32" s="206">
        <f t="shared" si="0"/>
        <v>16</v>
      </c>
      <c r="B32" s="170"/>
      <c r="C32" s="171"/>
      <c r="D32" s="172"/>
      <c r="E32" s="170"/>
      <c r="F32" s="171"/>
      <c r="G32" s="171"/>
      <c r="H32" s="173"/>
      <c r="I32" s="170"/>
      <c r="J32" s="172"/>
      <c r="K32" s="174"/>
      <c r="L32" s="174"/>
      <c r="M32" s="174"/>
      <c r="N32" s="174"/>
      <c r="O32" s="174"/>
      <c r="P32" s="174"/>
      <c r="Q32" s="214"/>
      <c r="R32" s="82"/>
    </row>
    <row r="33" spans="1:18" s="83" customFormat="1" ht="15.75" customHeight="1">
      <c r="A33" s="205">
        <f t="shared" si="0"/>
        <v>17</v>
      </c>
      <c r="B33" s="165"/>
      <c r="C33" s="166"/>
      <c r="D33" s="167"/>
      <c r="E33" s="165"/>
      <c r="F33" s="166"/>
      <c r="G33" s="166"/>
      <c r="H33" s="168"/>
      <c r="I33" s="165"/>
      <c r="J33" s="167"/>
      <c r="K33" s="169"/>
      <c r="L33" s="169"/>
      <c r="M33" s="169"/>
      <c r="N33" s="169"/>
      <c r="O33" s="169"/>
      <c r="P33" s="169"/>
      <c r="Q33" s="213"/>
      <c r="R33" s="82"/>
    </row>
    <row r="34" spans="1:18" s="83" customFormat="1" ht="15.75" customHeight="1">
      <c r="A34" s="206">
        <f t="shared" si="0"/>
        <v>18</v>
      </c>
      <c r="B34" s="170"/>
      <c r="C34" s="171"/>
      <c r="D34" s="172"/>
      <c r="E34" s="170"/>
      <c r="F34" s="171"/>
      <c r="G34" s="171"/>
      <c r="H34" s="173"/>
      <c r="I34" s="170"/>
      <c r="J34" s="172"/>
      <c r="K34" s="174"/>
      <c r="L34" s="174"/>
      <c r="M34" s="174"/>
      <c r="N34" s="174"/>
      <c r="O34" s="174"/>
      <c r="P34" s="174"/>
      <c r="Q34" s="214"/>
      <c r="R34" s="82"/>
    </row>
    <row r="35" spans="1:18" s="83" customFormat="1" ht="15.75" customHeight="1">
      <c r="A35" s="205">
        <f t="shared" si="0"/>
        <v>19</v>
      </c>
      <c r="B35" s="165"/>
      <c r="C35" s="166"/>
      <c r="D35" s="167"/>
      <c r="E35" s="165"/>
      <c r="F35" s="166"/>
      <c r="G35" s="166"/>
      <c r="H35" s="168"/>
      <c r="I35" s="165"/>
      <c r="J35" s="167"/>
      <c r="K35" s="169"/>
      <c r="L35" s="169"/>
      <c r="M35" s="169"/>
      <c r="N35" s="169"/>
      <c r="O35" s="169"/>
      <c r="P35" s="169"/>
      <c r="Q35" s="213"/>
      <c r="R35" s="82"/>
    </row>
    <row r="36" spans="1:18" s="83" customFormat="1" ht="15.75" customHeight="1" thickBot="1">
      <c r="A36" s="207">
        <f t="shared" si="0"/>
        <v>20</v>
      </c>
      <c r="B36" s="175"/>
      <c r="C36" s="176"/>
      <c r="D36" s="177"/>
      <c r="E36" s="175"/>
      <c r="F36" s="176"/>
      <c r="G36" s="176"/>
      <c r="H36" s="178"/>
      <c r="I36" s="175"/>
      <c r="J36" s="177"/>
      <c r="K36" s="179"/>
      <c r="L36" s="179"/>
      <c r="M36" s="179"/>
      <c r="N36" s="179"/>
      <c r="O36" s="179"/>
      <c r="P36" s="179"/>
      <c r="Q36" s="215"/>
      <c r="R36" s="82"/>
    </row>
    <row r="37" spans="1:18" ht="12.75">
      <c r="A37" s="3"/>
      <c r="B37" s="3"/>
      <c r="C37" s="3"/>
      <c r="D37" s="3"/>
      <c r="E37" s="3"/>
      <c r="F37" s="3"/>
      <c r="G37" s="3"/>
      <c r="H37" s="3"/>
      <c r="I37" s="3"/>
      <c r="J37" s="3"/>
      <c r="K37" s="3"/>
      <c r="L37" s="3"/>
      <c r="M37" s="3"/>
      <c r="N37" s="3"/>
      <c r="O37" s="3"/>
      <c r="P37" s="3"/>
      <c r="Q37" s="3"/>
      <c r="R37" s="3"/>
    </row>
    <row r="38" spans="1:18" ht="12.75">
      <c r="A38" s="3"/>
      <c r="B38" s="3"/>
      <c r="C38" s="3"/>
      <c r="D38" s="3"/>
      <c r="E38" s="3"/>
      <c r="F38" s="3"/>
      <c r="G38" s="3"/>
      <c r="H38" s="3"/>
      <c r="I38" s="3"/>
      <c r="J38" s="3"/>
      <c r="K38" s="3"/>
      <c r="L38" s="3"/>
      <c r="M38" s="3"/>
      <c r="N38" s="3"/>
      <c r="O38" s="3"/>
      <c r="P38" s="3"/>
      <c r="Q38" s="3"/>
      <c r="R38" s="3"/>
    </row>
  </sheetData>
  <sheetProtection sheet="1" objects="1" scenarios="1"/>
  <mergeCells count="24">
    <mergeCell ref="O12:O14"/>
    <mergeCell ref="P12:P14"/>
    <mergeCell ref="K12:K14"/>
    <mergeCell ref="L12:L14"/>
    <mergeCell ref="N12:N14"/>
    <mergeCell ref="E11:H11"/>
    <mergeCell ref="I11:J11"/>
    <mergeCell ref="A10:E10"/>
    <mergeCell ref="M12:M14"/>
    <mergeCell ref="A5:B5"/>
    <mergeCell ref="A6:B6"/>
    <mergeCell ref="A7:B7"/>
    <mergeCell ref="A11:A14"/>
    <mergeCell ref="B11:D11"/>
    <mergeCell ref="F16:G16"/>
    <mergeCell ref="I16:J16"/>
    <mergeCell ref="A3:Q3"/>
    <mergeCell ref="C12:D12"/>
    <mergeCell ref="G12:H12"/>
    <mergeCell ref="B12:B13"/>
    <mergeCell ref="E12:E13"/>
    <mergeCell ref="F12:F13"/>
    <mergeCell ref="I12:I13"/>
    <mergeCell ref="Q12:Q14"/>
  </mergeCells>
  <printOptions/>
  <pageMargins left="0.4" right="0.4" top="0.3" bottom="0.3" header="0" footer="0.26"/>
  <pageSetup horizontalDpi="600" verticalDpi="600" orientation="landscape" scale="90" r:id="rId3"/>
  <drawing r:id="rId2"/>
  <legacyDrawing r:id="rId1"/>
</worksheet>
</file>

<file path=xl/worksheets/sheet12.xml><?xml version="1.0" encoding="utf-8"?>
<worksheet xmlns="http://schemas.openxmlformats.org/spreadsheetml/2006/main" xmlns:r="http://schemas.openxmlformats.org/officeDocument/2006/relationships">
  <sheetPr codeName="Sheet13"/>
  <dimension ref="A1:A1"/>
  <sheetViews>
    <sheetView workbookViewId="0" topLeftCell="A1">
      <selection activeCell="A2" sqref="A2"/>
    </sheetView>
  </sheetViews>
  <sheetFormatPr defaultColWidth="9.140625" defaultRowHeight="12.75"/>
  <cols>
    <col min="1" max="11" width="9.140625" style="3" customWidth="1"/>
    <col min="12" max="12" width="0.5625" style="3" customWidth="1"/>
    <col min="13" max="16384" width="9.140625" style="3" customWidth="1"/>
  </cols>
  <sheetData>
    <row r="1" ht="12.75"/>
    <row r="2" ht="12.75"/>
    <row r="3" ht="12.75"/>
  </sheetData>
  <sheetProtection sheet="1" objects="1" scenarios="1"/>
  <printOptions/>
  <pageMargins left="0.23" right="0.24" top="0.47" bottom="0.99" header="0.18" footer="0.74"/>
  <pageSetup horizontalDpi="1200" verticalDpi="1200" orientation="portrait" scale="94" r:id="rId4"/>
  <drawing r:id="rId3"/>
  <legacyDrawing r:id="rId2"/>
  <oleObjects>
    <oleObject progId="Word.Document.8" shapeId="1642511" r:id="rId1"/>
  </oleObjects>
</worksheet>
</file>

<file path=xl/worksheets/sheet13.xml><?xml version="1.0" encoding="utf-8"?>
<worksheet xmlns="http://schemas.openxmlformats.org/spreadsheetml/2006/main" xmlns:r="http://schemas.openxmlformats.org/officeDocument/2006/relationships">
  <sheetPr codeName="Sheet7"/>
  <dimension ref="A1:R54"/>
  <sheetViews>
    <sheetView workbookViewId="0" topLeftCell="A1">
      <selection activeCell="K11" sqref="K11"/>
    </sheetView>
  </sheetViews>
  <sheetFormatPr defaultColWidth="9.140625" defaultRowHeight="12.75"/>
  <cols>
    <col min="2" max="2" width="10.8515625" style="33" bestFit="1" customWidth="1"/>
    <col min="3" max="3" width="45.140625" style="0" bestFit="1" customWidth="1"/>
    <col min="4" max="4" width="4.00390625" style="0" customWidth="1"/>
    <col min="5" max="5" width="10.7109375" style="0" customWidth="1"/>
    <col min="6" max="7" width="9.00390625" style="0" bestFit="1" customWidth="1"/>
    <col min="8" max="9" width="9.00390625" style="6" customWidth="1"/>
    <col min="11" max="11" width="12.140625" style="0" bestFit="1" customWidth="1"/>
    <col min="18" max="18" width="24.8515625" style="0" bestFit="1" customWidth="1"/>
  </cols>
  <sheetData>
    <row r="1" spans="1:18" ht="20.25">
      <c r="A1" s="287" t="s">
        <v>189</v>
      </c>
      <c r="B1" s="287"/>
      <c r="C1" s="287"/>
      <c r="D1" s="287"/>
      <c r="E1" s="287"/>
      <c r="F1" s="287"/>
      <c r="G1" s="287"/>
      <c r="I1" s="288" t="s">
        <v>188</v>
      </c>
      <c r="J1" s="289"/>
      <c r="K1" s="289"/>
      <c r="L1" s="289"/>
      <c r="M1" s="289"/>
      <c r="N1" s="289"/>
      <c r="O1" s="289"/>
      <c r="P1" s="289"/>
      <c r="Q1" s="289"/>
      <c r="R1" s="289"/>
    </row>
    <row r="2" spans="1:18" s="38" customFormat="1" ht="39" thickBot="1">
      <c r="A2" s="36" t="s">
        <v>30</v>
      </c>
      <c r="B2" s="37" t="s">
        <v>36</v>
      </c>
      <c r="C2" s="36" t="s">
        <v>24</v>
      </c>
      <c r="D2" s="36" t="s">
        <v>26</v>
      </c>
      <c r="E2" s="36" t="s">
        <v>27</v>
      </c>
      <c r="F2" s="36" t="s">
        <v>25</v>
      </c>
      <c r="G2" s="36" t="s">
        <v>31</v>
      </c>
      <c r="H2" s="138"/>
      <c r="I2" s="36" t="s">
        <v>30</v>
      </c>
      <c r="J2" s="36" t="s">
        <v>187</v>
      </c>
      <c r="K2" s="36" t="s">
        <v>24</v>
      </c>
      <c r="L2" s="36" t="s">
        <v>162</v>
      </c>
      <c r="M2" s="36" t="s">
        <v>163</v>
      </c>
      <c r="N2" s="36" t="s">
        <v>164</v>
      </c>
      <c r="O2" s="36"/>
      <c r="P2" s="36" t="s">
        <v>182</v>
      </c>
      <c r="Q2" s="36" t="s">
        <v>183</v>
      </c>
      <c r="R2" s="36" t="s">
        <v>185</v>
      </c>
    </row>
    <row r="3" spans="1:18" ht="16.5" thickBot="1">
      <c r="A3" s="193">
        <v>1</v>
      </c>
      <c r="B3" s="141">
        <v>1</v>
      </c>
      <c r="C3" s="48" t="s">
        <v>37</v>
      </c>
      <c r="D3" s="36">
        <v>13</v>
      </c>
      <c r="E3" s="36">
        <v>8192</v>
      </c>
      <c r="F3" s="36">
        <v>5000</v>
      </c>
      <c r="G3" s="36">
        <v>3000</v>
      </c>
      <c r="H3" s="138"/>
      <c r="I3" s="192">
        <v>1</v>
      </c>
      <c r="J3" s="142">
        <v>1</v>
      </c>
      <c r="K3" s="136" t="s">
        <v>186</v>
      </c>
      <c r="L3" s="137">
        <v>0.318</v>
      </c>
      <c r="M3" s="137">
        <v>3.64E-06</v>
      </c>
      <c r="N3" s="137">
        <v>4.49E-06</v>
      </c>
      <c r="O3" s="137"/>
      <c r="P3" s="137">
        <v>3000</v>
      </c>
      <c r="Q3" s="137">
        <v>5000</v>
      </c>
      <c r="R3" s="36"/>
    </row>
    <row r="4" spans="1:18" ht="12.75">
      <c r="A4" s="35"/>
      <c r="B4" s="74">
        <v>2</v>
      </c>
      <c r="C4" s="74" t="s">
        <v>16</v>
      </c>
      <c r="D4" s="74">
        <v>13</v>
      </c>
      <c r="E4" s="74">
        <f>2^D4</f>
        <v>8192</v>
      </c>
      <c r="F4" s="74">
        <v>5000</v>
      </c>
      <c r="G4" s="74">
        <v>3000</v>
      </c>
      <c r="H4" s="139"/>
      <c r="I4" s="137"/>
      <c r="J4" s="74">
        <f>J3+1</f>
        <v>2</v>
      </c>
      <c r="K4" s="74" t="s">
        <v>128</v>
      </c>
      <c r="L4" s="74">
        <v>0.095</v>
      </c>
      <c r="M4" s="74">
        <v>1.66E-06</v>
      </c>
      <c r="N4" s="74">
        <v>2.51E-06</v>
      </c>
      <c r="O4" s="74"/>
      <c r="P4" s="74">
        <v>3000</v>
      </c>
      <c r="Q4" s="74">
        <v>5000</v>
      </c>
      <c r="R4" s="74"/>
    </row>
    <row r="5" spans="1:18" ht="12.75">
      <c r="A5" s="35"/>
      <c r="B5" s="74">
        <v>3</v>
      </c>
      <c r="C5" s="74" t="s">
        <v>17</v>
      </c>
      <c r="D5" s="74">
        <v>16</v>
      </c>
      <c r="E5" s="74">
        <f aca="true" t="shared" si="0" ref="E5:E29">2^D5</f>
        <v>65536</v>
      </c>
      <c r="F5" s="74">
        <v>5000</v>
      </c>
      <c r="G5" s="74">
        <v>3000</v>
      </c>
      <c r="H5" s="139"/>
      <c r="I5" s="137"/>
      <c r="J5" s="74">
        <f aca="true" t="shared" si="1" ref="J5:J54">J4+1</f>
        <v>3</v>
      </c>
      <c r="K5" s="74" t="s">
        <v>129</v>
      </c>
      <c r="L5" s="74">
        <v>0.159</v>
      </c>
      <c r="M5" s="74">
        <v>2.2E-06</v>
      </c>
      <c r="N5" s="74">
        <v>3.05E-06</v>
      </c>
      <c r="O5" s="74"/>
      <c r="P5" s="74">
        <v>3000</v>
      </c>
      <c r="Q5" s="74">
        <v>5000</v>
      </c>
      <c r="R5" s="74"/>
    </row>
    <row r="6" spans="1:18" ht="12.75">
      <c r="A6" s="35"/>
      <c r="B6" s="75">
        <v>4</v>
      </c>
      <c r="C6" s="75" t="s">
        <v>18</v>
      </c>
      <c r="D6" s="75">
        <v>13</v>
      </c>
      <c r="E6" s="75">
        <f t="shared" si="0"/>
        <v>8192</v>
      </c>
      <c r="F6" s="75">
        <v>5000</v>
      </c>
      <c r="G6" s="75">
        <v>3000</v>
      </c>
      <c r="H6" s="139"/>
      <c r="I6" s="137"/>
      <c r="J6" s="74">
        <f t="shared" si="1"/>
        <v>4</v>
      </c>
      <c r="K6" s="74" t="s">
        <v>130</v>
      </c>
      <c r="L6" s="74">
        <v>0.318</v>
      </c>
      <c r="M6" s="74">
        <v>3.64E-06</v>
      </c>
      <c r="N6" s="74">
        <v>4.49E-06</v>
      </c>
      <c r="O6" s="74"/>
      <c r="P6" s="74">
        <v>3000</v>
      </c>
      <c r="Q6" s="74">
        <v>5000</v>
      </c>
      <c r="R6" s="74"/>
    </row>
    <row r="7" spans="1:18" ht="12.75">
      <c r="A7" s="35"/>
      <c r="B7" s="75">
        <v>5</v>
      </c>
      <c r="C7" s="75" t="s">
        <v>19</v>
      </c>
      <c r="D7" s="75">
        <v>16</v>
      </c>
      <c r="E7" s="75">
        <f t="shared" si="0"/>
        <v>65536</v>
      </c>
      <c r="F7" s="75">
        <v>5000</v>
      </c>
      <c r="G7" s="75">
        <v>3000</v>
      </c>
      <c r="H7" s="139"/>
      <c r="I7" s="137"/>
      <c r="J7" s="74">
        <f t="shared" si="1"/>
        <v>5</v>
      </c>
      <c r="K7" s="74" t="s">
        <v>131</v>
      </c>
      <c r="L7" s="74">
        <v>0.637</v>
      </c>
      <c r="M7" s="74">
        <v>1.06E-05</v>
      </c>
      <c r="N7" s="74">
        <v>1.64E-05</v>
      </c>
      <c r="O7" s="74"/>
      <c r="P7" s="74">
        <v>3000</v>
      </c>
      <c r="Q7" s="74">
        <v>5000</v>
      </c>
      <c r="R7" s="74"/>
    </row>
    <row r="8" spans="1:18" ht="12.75">
      <c r="A8" s="35"/>
      <c r="B8" s="76">
        <v>6</v>
      </c>
      <c r="C8" s="76" t="s">
        <v>28</v>
      </c>
      <c r="D8" s="76">
        <v>17</v>
      </c>
      <c r="E8" s="76">
        <f t="shared" si="0"/>
        <v>131072</v>
      </c>
      <c r="F8" s="76">
        <v>3000</v>
      </c>
      <c r="G8" s="76">
        <v>1500</v>
      </c>
      <c r="H8" s="139"/>
      <c r="I8" s="137"/>
      <c r="J8" s="74">
        <f t="shared" si="1"/>
        <v>6</v>
      </c>
      <c r="K8" s="74" t="s">
        <v>132</v>
      </c>
      <c r="L8" s="74">
        <v>1.27</v>
      </c>
      <c r="M8" s="74">
        <v>1.73E-05</v>
      </c>
      <c r="N8" s="74">
        <v>2.31E-05</v>
      </c>
      <c r="O8" s="74"/>
      <c r="P8" s="74">
        <v>3000</v>
      </c>
      <c r="Q8" s="74">
        <v>5000</v>
      </c>
      <c r="R8" s="74"/>
    </row>
    <row r="9" spans="1:18" ht="12.75">
      <c r="A9" s="35"/>
      <c r="B9" s="76">
        <v>7</v>
      </c>
      <c r="C9" s="76" t="s">
        <v>29</v>
      </c>
      <c r="D9" s="76">
        <v>17</v>
      </c>
      <c r="E9" s="76">
        <f t="shared" si="0"/>
        <v>131072</v>
      </c>
      <c r="F9" s="76">
        <v>2000</v>
      </c>
      <c r="G9" s="76">
        <v>1500</v>
      </c>
      <c r="H9" s="139"/>
      <c r="I9" s="137"/>
      <c r="J9" s="74">
        <f t="shared" si="1"/>
        <v>7</v>
      </c>
      <c r="K9" s="74" t="s">
        <v>133</v>
      </c>
      <c r="L9" s="74">
        <v>2.39</v>
      </c>
      <c r="M9" s="74">
        <v>6.71E-05</v>
      </c>
      <c r="N9" s="74">
        <v>8.11E-05</v>
      </c>
      <c r="O9" s="74"/>
      <c r="P9" s="74">
        <v>3000</v>
      </c>
      <c r="Q9" s="74">
        <v>5000</v>
      </c>
      <c r="R9" s="74"/>
    </row>
    <row r="10" spans="1:18" ht="12.75">
      <c r="A10" s="35"/>
      <c r="B10" s="77">
        <v>8</v>
      </c>
      <c r="C10" s="77" t="s">
        <v>20</v>
      </c>
      <c r="D10" s="77">
        <v>17</v>
      </c>
      <c r="E10" s="77">
        <f t="shared" si="0"/>
        <v>131072</v>
      </c>
      <c r="F10" s="77">
        <v>5000</v>
      </c>
      <c r="G10" s="77">
        <v>3000</v>
      </c>
      <c r="H10" s="139"/>
      <c r="I10" s="137"/>
      <c r="J10" s="75">
        <f t="shared" si="1"/>
        <v>8</v>
      </c>
      <c r="K10" s="75" t="s">
        <v>134</v>
      </c>
      <c r="L10" s="75">
        <v>0.318</v>
      </c>
      <c r="M10" s="75">
        <v>4.9100000000000004E-06</v>
      </c>
      <c r="N10" s="75">
        <v>7.81E-06</v>
      </c>
      <c r="O10" s="75"/>
      <c r="P10" s="75">
        <v>3000</v>
      </c>
      <c r="Q10" s="75">
        <v>5000</v>
      </c>
      <c r="R10" s="75"/>
    </row>
    <row r="11" spans="1:18" ht="12.75">
      <c r="A11" s="35"/>
      <c r="B11" s="135">
        <v>9</v>
      </c>
      <c r="C11" s="132" t="s">
        <v>21</v>
      </c>
      <c r="D11" s="134">
        <v>17</v>
      </c>
      <c r="E11" s="134">
        <f t="shared" si="0"/>
        <v>131072</v>
      </c>
      <c r="F11" s="134">
        <v>6000</v>
      </c>
      <c r="G11" s="134">
        <v>6000</v>
      </c>
      <c r="H11" s="139"/>
      <c r="I11" s="137"/>
      <c r="J11" s="75">
        <f t="shared" si="1"/>
        <v>9</v>
      </c>
      <c r="K11" s="75" t="s">
        <v>135</v>
      </c>
      <c r="L11" s="75">
        <v>0.637</v>
      </c>
      <c r="M11" s="75">
        <v>1.93E-05</v>
      </c>
      <c r="N11" s="75">
        <v>3.02E-05</v>
      </c>
      <c r="O11" s="75"/>
      <c r="P11" s="75">
        <v>3000</v>
      </c>
      <c r="Q11" s="75">
        <v>5000</v>
      </c>
      <c r="R11" s="75"/>
    </row>
    <row r="12" spans="1:18" ht="12.75">
      <c r="A12" s="35"/>
      <c r="B12" s="78">
        <v>10</v>
      </c>
      <c r="C12" s="78" t="s">
        <v>22</v>
      </c>
      <c r="D12" s="78">
        <v>17</v>
      </c>
      <c r="E12" s="78">
        <f t="shared" si="0"/>
        <v>131072</v>
      </c>
      <c r="F12" s="78">
        <v>2000</v>
      </c>
      <c r="G12" s="78">
        <v>1500</v>
      </c>
      <c r="H12" s="139"/>
      <c r="I12" s="137"/>
      <c r="J12" s="75">
        <f t="shared" si="1"/>
        <v>10</v>
      </c>
      <c r="K12" s="75" t="s">
        <v>136</v>
      </c>
      <c r="L12" s="75">
        <v>1.27</v>
      </c>
      <c r="M12" s="75">
        <v>3.31E-05</v>
      </c>
      <c r="N12" s="75">
        <v>4.4E-05</v>
      </c>
      <c r="O12" s="75"/>
      <c r="P12" s="75">
        <v>3000</v>
      </c>
      <c r="Q12" s="75">
        <v>5000</v>
      </c>
      <c r="R12" s="75"/>
    </row>
    <row r="13" spans="1:18" ht="12.75">
      <c r="A13" s="35"/>
      <c r="B13" s="133">
        <f>B12+1</f>
        <v>11</v>
      </c>
      <c r="C13" s="133" t="str">
        <f>K38&amp;R38</f>
        <v>SGMCS-02B (20-bit Single-Turn Absolute)</v>
      </c>
      <c r="D13" s="133">
        <v>20</v>
      </c>
      <c r="E13" s="133">
        <f t="shared" si="0"/>
        <v>1048576</v>
      </c>
      <c r="F13" s="133">
        <f>Q38</f>
        <v>500</v>
      </c>
      <c r="G13" s="133">
        <f>P38</f>
        <v>200</v>
      </c>
      <c r="H13" s="140"/>
      <c r="I13" s="141"/>
      <c r="J13" s="75">
        <f t="shared" si="1"/>
        <v>11</v>
      </c>
      <c r="K13" s="75" t="s">
        <v>137</v>
      </c>
      <c r="L13" s="75">
        <v>2.39</v>
      </c>
      <c r="M13" s="75">
        <v>0.00021</v>
      </c>
      <c r="N13" s="75">
        <v>0.0002975</v>
      </c>
      <c r="O13" s="75"/>
      <c r="P13" s="75">
        <v>3000</v>
      </c>
      <c r="Q13" s="75">
        <v>5000</v>
      </c>
      <c r="R13" s="75"/>
    </row>
    <row r="14" spans="1:18" ht="12.75">
      <c r="A14" s="35"/>
      <c r="B14" s="133">
        <f aca="true" t="shared" si="2" ref="B14:B29">B13+1</f>
        <v>12</v>
      </c>
      <c r="C14" s="133" t="str">
        <f aca="true" t="shared" si="3" ref="C14:C30">K39&amp;R39</f>
        <v>SGMCS-05B (20-bit Single-Turn Absolute)</v>
      </c>
      <c r="D14" s="133">
        <v>20</v>
      </c>
      <c r="E14" s="133">
        <f t="shared" si="0"/>
        <v>1048576</v>
      </c>
      <c r="F14" s="133">
        <f aca="true" t="shared" si="4" ref="F14:F29">Q39</f>
        <v>500</v>
      </c>
      <c r="G14" s="133">
        <f aca="true" t="shared" si="5" ref="G14:G29">P39</f>
        <v>200</v>
      </c>
      <c r="H14" s="140"/>
      <c r="I14" s="141"/>
      <c r="J14" s="75">
        <f t="shared" si="1"/>
        <v>12</v>
      </c>
      <c r="K14" s="75" t="s">
        <v>138</v>
      </c>
      <c r="L14" s="75">
        <v>4.77</v>
      </c>
      <c r="M14" s="75">
        <v>0.000402</v>
      </c>
      <c r="N14" s="75">
        <v>0.0004985</v>
      </c>
      <c r="O14" s="75"/>
      <c r="P14" s="75">
        <v>3000</v>
      </c>
      <c r="Q14" s="75">
        <v>5000</v>
      </c>
      <c r="R14" s="75"/>
    </row>
    <row r="15" spans="1:18" ht="12.75">
      <c r="A15" s="35"/>
      <c r="B15" s="133">
        <f t="shared" si="2"/>
        <v>13</v>
      </c>
      <c r="C15" s="133" t="str">
        <f t="shared" si="3"/>
        <v>SGMCS-07B (20-bit Single-Turn Absolute)</v>
      </c>
      <c r="D15" s="133">
        <v>20</v>
      </c>
      <c r="E15" s="133">
        <f t="shared" si="0"/>
        <v>1048576</v>
      </c>
      <c r="F15" s="133">
        <f t="shared" si="4"/>
        <v>500</v>
      </c>
      <c r="G15" s="133">
        <f t="shared" si="5"/>
        <v>200</v>
      </c>
      <c r="H15" s="140"/>
      <c r="I15" s="141"/>
      <c r="J15" s="76">
        <f t="shared" si="1"/>
        <v>13</v>
      </c>
      <c r="K15" s="76" t="s">
        <v>139</v>
      </c>
      <c r="L15" s="76">
        <v>2.84</v>
      </c>
      <c r="M15" s="76">
        <v>0.000724</v>
      </c>
      <c r="N15" s="76">
        <v>0.00093305</v>
      </c>
      <c r="O15" s="76"/>
      <c r="P15" s="76">
        <v>1500</v>
      </c>
      <c r="Q15" s="76">
        <v>3000</v>
      </c>
      <c r="R15" s="76"/>
    </row>
    <row r="16" spans="1:18" ht="12.75">
      <c r="A16" s="35"/>
      <c r="B16" s="133">
        <f t="shared" si="2"/>
        <v>14</v>
      </c>
      <c r="C16" s="133" t="str">
        <f t="shared" si="3"/>
        <v>SGMCS-04C (20-bit Single-Turn Absolute)</v>
      </c>
      <c r="D16" s="133">
        <v>20</v>
      </c>
      <c r="E16" s="133">
        <f t="shared" si="0"/>
        <v>1048576</v>
      </c>
      <c r="F16" s="133">
        <f t="shared" si="4"/>
        <v>500</v>
      </c>
      <c r="G16" s="133">
        <f t="shared" si="5"/>
        <v>200</v>
      </c>
      <c r="H16" s="140"/>
      <c r="I16" s="141"/>
      <c r="J16" s="76">
        <f t="shared" si="1"/>
        <v>14</v>
      </c>
      <c r="K16" s="76" t="s">
        <v>140</v>
      </c>
      <c r="L16" s="76">
        <v>5.39</v>
      </c>
      <c r="M16" s="76">
        <v>0.00139</v>
      </c>
      <c r="N16" s="76">
        <v>0.0015990499999999999</v>
      </c>
      <c r="O16" s="76"/>
      <c r="P16" s="76">
        <v>1500</v>
      </c>
      <c r="Q16" s="76">
        <v>3000</v>
      </c>
      <c r="R16" s="76"/>
    </row>
    <row r="17" spans="1:18" ht="12.75">
      <c r="A17" s="35"/>
      <c r="B17" s="133">
        <f t="shared" si="2"/>
        <v>15</v>
      </c>
      <c r="C17" s="133" t="str">
        <f t="shared" si="3"/>
        <v>SGMCS-10C (20-bit Single-Turn Absolute)</v>
      </c>
      <c r="D17" s="133">
        <v>20</v>
      </c>
      <c r="E17" s="133">
        <f t="shared" si="0"/>
        <v>1048576</v>
      </c>
      <c r="F17" s="133">
        <f t="shared" si="4"/>
        <v>400</v>
      </c>
      <c r="G17" s="133">
        <f t="shared" si="5"/>
        <v>200</v>
      </c>
      <c r="H17" s="140"/>
      <c r="I17" s="141"/>
      <c r="J17" s="76">
        <f t="shared" si="1"/>
        <v>15</v>
      </c>
      <c r="K17" s="76" t="s">
        <v>141</v>
      </c>
      <c r="L17" s="76">
        <v>8.34</v>
      </c>
      <c r="M17" s="76">
        <v>0.00205</v>
      </c>
      <c r="N17" s="76">
        <v>0.0022590500000000003</v>
      </c>
      <c r="O17" s="76"/>
      <c r="P17" s="76">
        <v>1500</v>
      </c>
      <c r="Q17" s="76">
        <v>3000</v>
      </c>
      <c r="R17" s="76"/>
    </row>
    <row r="18" spans="1:18" ht="12.75">
      <c r="A18" s="35"/>
      <c r="B18" s="133">
        <f t="shared" si="2"/>
        <v>16</v>
      </c>
      <c r="C18" s="133" t="str">
        <f t="shared" si="3"/>
        <v>SGMCS-14C (20-bit Single-Turn Absolute)</v>
      </c>
      <c r="D18" s="133">
        <v>20</v>
      </c>
      <c r="E18" s="133">
        <f t="shared" si="0"/>
        <v>1048576</v>
      </c>
      <c r="F18" s="133">
        <f t="shared" si="4"/>
        <v>300</v>
      </c>
      <c r="G18" s="133">
        <f t="shared" si="5"/>
        <v>200</v>
      </c>
      <c r="H18" s="140"/>
      <c r="I18" s="141"/>
      <c r="J18" s="76">
        <f t="shared" si="1"/>
        <v>16</v>
      </c>
      <c r="K18" s="76" t="s">
        <v>142</v>
      </c>
      <c r="L18" s="76">
        <v>11.5</v>
      </c>
      <c r="M18" s="76">
        <v>0.00317</v>
      </c>
      <c r="N18" s="76">
        <v>0.00404575</v>
      </c>
      <c r="O18" s="76"/>
      <c r="P18" s="76">
        <v>1500</v>
      </c>
      <c r="Q18" s="76">
        <v>3000</v>
      </c>
      <c r="R18" s="76"/>
    </row>
    <row r="19" spans="1:18" ht="12.75">
      <c r="A19" s="35"/>
      <c r="B19" s="133">
        <f t="shared" si="2"/>
        <v>17</v>
      </c>
      <c r="C19" s="133" t="str">
        <f t="shared" si="3"/>
        <v>SGMCS-08D (20-bit Single-Turn Absolute)</v>
      </c>
      <c r="D19" s="133">
        <v>20</v>
      </c>
      <c r="E19" s="133">
        <f t="shared" si="0"/>
        <v>1048576</v>
      </c>
      <c r="F19" s="133">
        <f t="shared" si="4"/>
        <v>500</v>
      </c>
      <c r="G19" s="133">
        <f t="shared" si="5"/>
        <v>200</v>
      </c>
      <c r="H19" s="140"/>
      <c r="I19" s="141"/>
      <c r="J19" s="76">
        <f t="shared" si="1"/>
        <v>17</v>
      </c>
      <c r="K19" s="76" t="s">
        <v>143</v>
      </c>
      <c r="L19" s="76">
        <v>18.6</v>
      </c>
      <c r="M19" s="76">
        <v>0.0046</v>
      </c>
      <c r="N19" s="76">
        <v>0.00547575</v>
      </c>
      <c r="O19" s="76"/>
      <c r="P19" s="76">
        <v>1500</v>
      </c>
      <c r="Q19" s="76">
        <v>3000</v>
      </c>
      <c r="R19" s="76"/>
    </row>
    <row r="20" spans="1:18" ht="12.75">
      <c r="A20" s="35"/>
      <c r="B20" s="133">
        <f t="shared" si="2"/>
        <v>18</v>
      </c>
      <c r="C20" s="133" t="str">
        <f t="shared" si="3"/>
        <v>SGMCS-17D (20-bit Single-Turn Absolute)</v>
      </c>
      <c r="D20" s="133">
        <v>20</v>
      </c>
      <c r="E20" s="133">
        <f t="shared" si="0"/>
        <v>1048576</v>
      </c>
      <c r="F20" s="133">
        <f t="shared" si="4"/>
        <v>350</v>
      </c>
      <c r="G20" s="133">
        <f t="shared" si="5"/>
        <v>200</v>
      </c>
      <c r="H20" s="140"/>
      <c r="I20" s="141"/>
      <c r="J20" s="76">
        <f t="shared" si="1"/>
        <v>18</v>
      </c>
      <c r="K20" s="76" t="s">
        <v>144</v>
      </c>
      <c r="L20" s="76">
        <v>28.4</v>
      </c>
      <c r="M20" s="76">
        <v>0.00675</v>
      </c>
      <c r="N20" s="76">
        <v>0.00762575</v>
      </c>
      <c r="O20" s="76"/>
      <c r="P20" s="76">
        <v>1500</v>
      </c>
      <c r="Q20" s="76">
        <v>3000</v>
      </c>
      <c r="R20" s="76"/>
    </row>
    <row r="21" spans="1:18" ht="12.75">
      <c r="A21" s="35"/>
      <c r="B21" s="133">
        <f t="shared" si="2"/>
        <v>19</v>
      </c>
      <c r="C21" s="133" t="str">
        <f t="shared" si="3"/>
        <v>SGMCS-25D (20-bit Single-Turn Absolute)</v>
      </c>
      <c r="D21" s="133">
        <v>20</v>
      </c>
      <c r="E21" s="133">
        <f t="shared" si="0"/>
        <v>1048576</v>
      </c>
      <c r="F21" s="133">
        <f t="shared" si="4"/>
        <v>250</v>
      </c>
      <c r="G21" s="133">
        <f t="shared" si="5"/>
        <v>150</v>
      </c>
      <c r="H21" s="140"/>
      <c r="I21" s="141"/>
      <c r="J21" s="76">
        <f t="shared" si="1"/>
        <v>19</v>
      </c>
      <c r="K21" s="76" t="s">
        <v>145</v>
      </c>
      <c r="L21" s="76">
        <v>35</v>
      </c>
      <c r="M21" s="76">
        <v>0.0089</v>
      </c>
      <c r="N21" s="76">
        <v>0.00977575</v>
      </c>
      <c r="O21" s="76"/>
      <c r="P21" s="76">
        <v>1500</v>
      </c>
      <c r="Q21" s="76">
        <v>3000</v>
      </c>
      <c r="R21" s="76"/>
    </row>
    <row r="22" spans="1:18" ht="12.75">
      <c r="A22" s="35"/>
      <c r="B22" s="133">
        <f t="shared" si="2"/>
        <v>20</v>
      </c>
      <c r="C22" s="133" t="str">
        <f t="shared" si="3"/>
        <v>SGMCS-16E (20-bit Single-Turn Absolute)</v>
      </c>
      <c r="D22" s="133">
        <v>20</v>
      </c>
      <c r="E22" s="133">
        <f t="shared" si="0"/>
        <v>1048576</v>
      </c>
      <c r="F22" s="133">
        <f t="shared" si="4"/>
        <v>500</v>
      </c>
      <c r="G22" s="133">
        <f t="shared" si="5"/>
        <v>200</v>
      </c>
      <c r="H22" s="140"/>
      <c r="I22" s="141"/>
      <c r="J22" s="76">
        <f t="shared" si="1"/>
        <v>20</v>
      </c>
      <c r="K22" s="76" t="s">
        <v>146</v>
      </c>
      <c r="L22" s="76">
        <v>48</v>
      </c>
      <c r="M22" s="76">
        <v>0.0125</v>
      </c>
      <c r="N22" s="76">
        <v>0.01337575</v>
      </c>
      <c r="O22" s="76"/>
      <c r="P22" s="76">
        <v>1500</v>
      </c>
      <c r="Q22" s="76">
        <v>3000</v>
      </c>
      <c r="R22" s="76"/>
    </row>
    <row r="23" spans="1:18" ht="12.75">
      <c r="A23" s="35"/>
      <c r="B23" s="133">
        <f t="shared" si="2"/>
        <v>21</v>
      </c>
      <c r="C23" s="133" t="str">
        <f t="shared" si="3"/>
        <v>SGMCS-35E (20-bit Single-Turn Absolute)</v>
      </c>
      <c r="D23" s="133">
        <v>20</v>
      </c>
      <c r="E23" s="133">
        <f t="shared" si="0"/>
        <v>1048576</v>
      </c>
      <c r="F23" s="133">
        <f t="shared" si="4"/>
        <v>250</v>
      </c>
      <c r="G23" s="133">
        <f t="shared" si="5"/>
        <v>150</v>
      </c>
      <c r="H23" s="140"/>
      <c r="I23" s="141"/>
      <c r="J23" s="76">
        <f t="shared" si="1"/>
        <v>21</v>
      </c>
      <c r="K23" s="76" t="s">
        <v>147</v>
      </c>
      <c r="L23" s="76">
        <v>70</v>
      </c>
      <c r="M23" s="76">
        <v>0.0281</v>
      </c>
      <c r="N23" s="76">
        <v>0.0299871</v>
      </c>
      <c r="O23" s="76"/>
      <c r="P23" s="76">
        <v>1500</v>
      </c>
      <c r="Q23" s="76">
        <v>2000</v>
      </c>
      <c r="R23" s="76"/>
    </row>
    <row r="24" spans="1:18" ht="12.75">
      <c r="A24" s="35"/>
      <c r="B24" s="133">
        <f t="shared" si="2"/>
        <v>22</v>
      </c>
      <c r="C24" s="133" t="str">
        <f t="shared" si="3"/>
        <v>SGMCS-45M (20-bit Single-Turn Absolute)</v>
      </c>
      <c r="D24" s="133">
        <v>20</v>
      </c>
      <c r="E24" s="133">
        <f t="shared" si="0"/>
        <v>1048576</v>
      </c>
      <c r="F24" s="133">
        <f t="shared" si="4"/>
        <v>300</v>
      </c>
      <c r="G24" s="133">
        <f t="shared" si="5"/>
        <v>150</v>
      </c>
      <c r="H24" s="140"/>
      <c r="I24" s="141"/>
      <c r="J24" s="76">
        <f t="shared" si="1"/>
        <v>22</v>
      </c>
      <c r="K24" s="76" t="s">
        <v>148</v>
      </c>
      <c r="L24" s="76">
        <v>95.4</v>
      </c>
      <c r="M24" s="76">
        <v>0.0315</v>
      </c>
      <c r="N24" s="76">
        <v>0.0352516</v>
      </c>
      <c r="O24" s="76"/>
      <c r="P24" s="76">
        <v>1500</v>
      </c>
      <c r="Q24" s="76">
        <v>2000</v>
      </c>
      <c r="R24" s="76"/>
    </row>
    <row r="25" spans="1:18" ht="12.75">
      <c r="A25" s="35"/>
      <c r="B25" s="133">
        <f t="shared" si="2"/>
        <v>23</v>
      </c>
      <c r="C25" s="133" t="str">
        <f t="shared" si="3"/>
        <v>SGMCS-80M (20-bit Single-Turn Absolute)</v>
      </c>
      <c r="D25" s="133">
        <v>20</v>
      </c>
      <c r="E25" s="133">
        <f t="shared" si="0"/>
        <v>1048576</v>
      </c>
      <c r="F25" s="133">
        <f t="shared" si="4"/>
        <v>300</v>
      </c>
      <c r="G25" s="133">
        <f t="shared" si="5"/>
        <v>150</v>
      </c>
      <c r="H25" s="140"/>
      <c r="I25" s="141"/>
      <c r="J25" s="77">
        <f t="shared" si="1"/>
        <v>23</v>
      </c>
      <c r="K25" s="77" t="s">
        <v>149</v>
      </c>
      <c r="L25" s="77">
        <v>3.18</v>
      </c>
      <c r="M25" s="77">
        <v>0.000174</v>
      </c>
      <c r="N25" s="77">
        <v>0.00019874699999999999</v>
      </c>
      <c r="O25" s="77"/>
      <c r="P25" s="77">
        <v>3000</v>
      </c>
      <c r="Q25" s="77">
        <v>5000</v>
      </c>
      <c r="R25" s="77"/>
    </row>
    <row r="26" spans="1:18" ht="12.75">
      <c r="A26" s="35"/>
      <c r="B26" s="133">
        <f t="shared" si="2"/>
        <v>24</v>
      </c>
      <c r="C26" s="133" t="str">
        <f t="shared" si="3"/>
        <v>SGMCS-1AM (20-bit Single-Turn Absolute)</v>
      </c>
      <c r="D26" s="133">
        <v>20</v>
      </c>
      <c r="E26" s="133">
        <f t="shared" si="0"/>
        <v>1048576</v>
      </c>
      <c r="F26" s="133">
        <f t="shared" si="4"/>
        <v>300</v>
      </c>
      <c r="G26" s="133">
        <f t="shared" si="5"/>
        <v>150</v>
      </c>
      <c r="H26" s="140"/>
      <c r="I26" s="141"/>
      <c r="J26" s="77">
        <f t="shared" si="1"/>
        <v>24</v>
      </c>
      <c r="K26" s="77" t="s">
        <v>150</v>
      </c>
      <c r="L26" s="77">
        <v>4.9</v>
      </c>
      <c r="M26" s="77">
        <v>0.000247</v>
      </c>
      <c r="N26" s="77">
        <v>0.00027174699999999997</v>
      </c>
      <c r="O26" s="77"/>
      <c r="P26" s="77">
        <v>3000</v>
      </c>
      <c r="Q26" s="77">
        <v>5000</v>
      </c>
      <c r="R26" s="77"/>
    </row>
    <row r="27" spans="1:18" ht="12.75">
      <c r="A27" s="35"/>
      <c r="B27" s="133">
        <f t="shared" si="2"/>
        <v>25</v>
      </c>
      <c r="C27" s="133" t="str">
        <f t="shared" si="3"/>
        <v>SGMCS-80N (20-bit Single-Turn Absolute)</v>
      </c>
      <c r="D27" s="133">
        <v>20</v>
      </c>
      <c r="E27" s="133">
        <f t="shared" si="0"/>
        <v>1048576</v>
      </c>
      <c r="F27" s="133">
        <f t="shared" si="4"/>
        <v>300</v>
      </c>
      <c r="G27" s="133">
        <f t="shared" si="5"/>
        <v>150</v>
      </c>
      <c r="H27" s="140"/>
      <c r="I27" s="141"/>
      <c r="J27" s="77">
        <f t="shared" si="1"/>
        <v>25</v>
      </c>
      <c r="K27" s="77" t="s">
        <v>151</v>
      </c>
      <c r="L27" s="77">
        <v>6.36</v>
      </c>
      <c r="M27" s="77">
        <v>0.000319</v>
      </c>
      <c r="N27" s="77">
        <v>0.000343747</v>
      </c>
      <c r="O27" s="77"/>
      <c r="P27" s="77">
        <v>3000</v>
      </c>
      <c r="Q27" s="77">
        <v>5000</v>
      </c>
      <c r="R27" s="77"/>
    </row>
    <row r="28" spans="1:18" ht="12.75">
      <c r="A28" s="35"/>
      <c r="B28" s="133">
        <f t="shared" si="2"/>
        <v>26</v>
      </c>
      <c r="C28" s="133" t="str">
        <f t="shared" si="3"/>
        <v>SGMCS-1EN (20-bit Single-Turn Absolute)</v>
      </c>
      <c r="D28" s="133">
        <v>20</v>
      </c>
      <c r="E28" s="133">
        <f t="shared" si="0"/>
        <v>1048576</v>
      </c>
      <c r="F28" s="133">
        <f t="shared" si="4"/>
        <v>250</v>
      </c>
      <c r="G28" s="133">
        <f t="shared" si="5"/>
        <v>150</v>
      </c>
      <c r="H28" s="140"/>
      <c r="I28" s="141"/>
      <c r="J28" s="77">
        <f t="shared" si="1"/>
        <v>26</v>
      </c>
      <c r="K28" s="77" t="s">
        <v>152</v>
      </c>
      <c r="L28" s="77">
        <v>9.8</v>
      </c>
      <c r="M28" s="77">
        <v>0.0007</v>
      </c>
      <c r="N28" s="77">
        <v>0.00091357</v>
      </c>
      <c r="O28" s="77"/>
      <c r="P28" s="77">
        <v>3000</v>
      </c>
      <c r="Q28" s="77">
        <v>5000</v>
      </c>
      <c r="R28" s="77"/>
    </row>
    <row r="29" spans="1:18" ht="12.75">
      <c r="A29" s="35"/>
      <c r="B29" s="133">
        <f t="shared" si="2"/>
        <v>27</v>
      </c>
      <c r="C29" s="133" t="str">
        <f t="shared" si="3"/>
        <v>SGMCS-2ZN (20-bit Single-Turn Absolute)</v>
      </c>
      <c r="D29" s="133">
        <v>20</v>
      </c>
      <c r="E29" s="133">
        <f t="shared" si="0"/>
        <v>1048576</v>
      </c>
      <c r="F29" s="133">
        <f t="shared" si="4"/>
        <v>250</v>
      </c>
      <c r="G29" s="133">
        <f t="shared" si="5"/>
        <v>150</v>
      </c>
      <c r="H29" s="140"/>
      <c r="I29" s="141"/>
      <c r="J29" s="77">
        <f t="shared" si="1"/>
        <v>27</v>
      </c>
      <c r="K29" s="77" t="s">
        <v>153</v>
      </c>
      <c r="L29" s="77">
        <v>12.6</v>
      </c>
      <c r="M29" s="77">
        <v>0.00096</v>
      </c>
      <c r="N29" s="77">
        <v>0.00117357</v>
      </c>
      <c r="O29" s="77"/>
      <c r="P29" s="77">
        <v>3000</v>
      </c>
      <c r="Q29" s="77">
        <v>5000</v>
      </c>
      <c r="R29" s="77"/>
    </row>
    <row r="30" spans="3:18" ht="12.75">
      <c r="C30">
        <f t="shared" si="3"/>
      </c>
      <c r="I30" s="35"/>
      <c r="J30" s="77">
        <f t="shared" si="1"/>
        <v>28</v>
      </c>
      <c r="K30" s="77" t="s">
        <v>154</v>
      </c>
      <c r="L30" s="77">
        <v>15.8</v>
      </c>
      <c r="M30" s="77">
        <v>0.00123</v>
      </c>
      <c r="N30" s="77">
        <v>0.00144357</v>
      </c>
      <c r="O30" s="77"/>
      <c r="P30" s="77">
        <v>3000</v>
      </c>
      <c r="Q30" s="77">
        <v>5000</v>
      </c>
      <c r="R30" s="77"/>
    </row>
    <row r="31" spans="3:18" ht="12.75">
      <c r="C31">
        <f>K55&amp;R56</f>
      </c>
      <c r="I31" s="35"/>
      <c r="J31" s="135">
        <f t="shared" si="1"/>
        <v>29</v>
      </c>
      <c r="K31" s="135" t="s">
        <v>155</v>
      </c>
      <c r="L31" s="135">
        <v>1.59</v>
      </c>
      <c r="M31" s="135">
        <v>0.000174</v>
      </c>
      <c r="N31" s="135">
        <v>0.000174</v>
      </c>
      <c r="O31" s="135"/>
      <c r="P31" s="135">
        <v>6000</v>
      </c>
      <c r="Q31" s="135">
        <v>6000</v>
      </c>
      <c r="R31" s="135"/>
    </row>
    <row r="32" spans="3:18" ht="12.75">
      <c r="C32">
        <f>K56&amp;R57</f>
      </c>
      <c r="I32" s="35"/>
      <c r="J32" s="135">
        <f t="shared" si="1"/>
        <v>30</v>
      </c>
      <c r="K32" s="135" t="s">
        <v>156</v>
      </c>
      <c r="L32" s="135">
        <v>4.9</v>
      </c>
      <c r="M32" s="135">
        <v>0.0007</v>
      </c>
      <c r="N32" s="135">
        <v>0.0007</v>
      </c>
      <c r="O32" s="135"/>
      <c r="P32" s="135">
        <v>6000</v>
      </c>
      <c r="Q32" s="135">
        <v>6000</v>
      </c>
      <c r="R32" s="135"/>
    </row>
    <row r="33" spans="3:18" ht="12.75">
      <c r="C33">
        <f>K57&amp;R58</f>
      </c>
      <c r="I33" s="35"/>
      <c r="J33" s="78">
        <f t="shared" si="1"/>
        <v>31</v>
      </c>
      <c r="K33" s="78" t="s">
        <v>157</v>
      </c>
      <c r="L33" s="78">
        <v>140</v>
      </c>
      <c r="M33" s="78">
        <v>0.0592</v>
      </c>
      <c r="N33" s="78">
        <v>0.0592</v>
      </c>
      <c r="O33" s="78"/>
      <c r="P33" s="78">
        <v>1500</v>
      </c>
      <c r="Q33" s="78">
        <v>2000</v>
      </c>
      <c r="R33" s="78"/>
    </row>
    <row r="34" spans="9:18" ht="12.75">
      <c r="I34" s="35"/>
      <c r="J34" s="78">
        <f t="shared" si="1"/>
        <v>32</v>
      </c>
      <c r="K34" s="78" t="s">
        <v>158</v>
      </c>
      <c r="L34" s="78">
        <v>191</v>
      </c>
      <c r="M34" s="78">
        <v>0.0773</v>
      </c>
      <c r="N34" s="78">
        <v>0.0773</v>
      </c>
      <c r="O34" s="78"/>
      <c r="P34" s="78">
        <v>1500</v>
      </c>
      <c r="Q34" s="78">
        <v>2000</v>
      </c>
      <c r="R34" s="78"/>
    </row>
    <row r="35" spans="9:18" ht="12.75">
      <c r="I35" s="35"/>
      <c r="J35" s="78">
        <f t="shared" si="1"/>
        <v>33</v>
      </c>
      <c r="K35" s="78" t="s">
        <v>159</v>
      </c>
      <c r="L35" s="78">
        <v>236</v>
      </c>
      <c r="M35" s="78">
        <v>0.139</v>
      </c>
      <c r="N35" s="78">
        <v>0.139</v>
      </c>
      <c r="O35" s="78"/>
      <c r="P35" s="78">
        <v>1500</v>
      </c>
      <c r="Q35" s="78">
        <v>2000</v>
      </c>
      <c r="R35" s="78"/>
    </row>
    <row r="36" spans="9:18" ht="12.75">
      <c r="I36" s="35"/>
      <c r="J36" s="78">
        <f t="shared" si="1"/>
        <v>34</v>
      </c>
      <c r="K36" s="78" t="s">
        <v>160</v>
      </c>
      <c r="L36" s="78">
        <v>286</v>
      </c>
      <c r="M36" s="78">
        <v>0.151</v>
      </c>
      <c r="N36" s="78">
        <v>0.151</v>
      </c>
      <c r="O36" s="78"/>
      <c r="P36" s="78">
        <v>1500</v>
      </c>
      <c r="Q36" s="78">
        <v>2000</v>
      </c>
      <c r="R36" s="78"/>
    </row>
    <row r="37" spans="9:18" ht="12.75">
      <c r="I37" s="35"/>
      <c r="J37" s="78">
        <f t="shared" si="1"/>
        <v>35</v>
      </c>
      <c r="K37" s="78" t="s">
        <v>161</v>
      </c>
      <c r="L37" s="78">
        <v>350</v>
      </c>
      <c r="M37" s="78">
        <v>0.197</v>
      </c>
      <c r="N37" s="78">
        <v>0.197</v>
      </c>
      <c r="O37" s="78"/>
      <c r="P37" s="78">
        <v>1500</v>
      </c>
      <c r="Q37" s="78">
        <v>2000</v>
      </c>
      <c r="R37" s="78"/>
    </row>
    <row r="38" spans="9:18" ht="12.75">
      <c r="I38" s="35"/>
      <c r="J38" s="133">
        <f t="shared" si="1"/>
        <v>36</v>
      </c>
      <c r="K38" s="133" t="s">
        <v>171</v>
      </c>
      <c r="L38" s="133">
        <v>2</v>
      </c>
      <c r="M38" s="133">
        <v>0.0025</v>
      </c>
      <c r="N38" s="133">
        <v>0.0025</v>
      </c>
      <c r="O38" s="133"/>
      <c r="P38" s="133">
        <v>200</v>
      </c>
      <c r="Q38" s="133">
        <v>500</v>
      </c>
      <c r="R38" s="133" t="s">
        <v>184</v>
      </c>
    </row>
    <row r="39" spans="9:18" ht="12.75">
      <c r="I39" s="35"/>
      <c r="J39" s="133">
        <f t="shared" si="1"/>
        <v>37</v>
      </c>
      <c r="K39" s="133" t="s">
        <v>172</v>
      </c>
      <c r="L39" s="133">
        <v>5</v>
      </c>
      <c r="M39" s="133">
        <v>0.0051</v>
      </c>
      <c r="N39" s="133">
        <v>0.0051</v>
      </c>
      <c r="O39" s="133"/>
      <c r="P39" s="133">
        <v>200</v>
      </c>
      <c r="Q39" s="133">
        <v>500</v>
      </c>
      <c r="R39" s="133" t="s">
        <v>184</v>
      </c>
    </row>
    <row r="40" spans="9:18" ht="12.75">
      <c r="I40" s="35"/>
      <c r="J40" s="133">
        <f t="shared" si="1"/>
        <v>38</v>
      </c>
      <c r="K40" s="133" t="s">
        <v>173</v>
      </c>
      <c r="L40" s="133">
        <v>7</v>
      </c>
      <c r="M40" s="133">
        <v>0.0077</v>
      </c>
      <c r="N40" s="133">
        <v>0.0077</v>
      </c>
      <c r="O40" s="133"/>
      <c r="P40" s="133">
        <v>200</v>
      </c>
      <c r="Q40" s="133">
        <v>500</v>
      </c>
      <c r="R40" s="133" t="s">
        <v>184</v>
      </c>
    </row>
    <row r="41" spans="9:18" ht="12.75">
      <c r="I41" s="35"/>
      <c r="J41" s="133">
        <f t="shared" si="1"/>
        <v>39</v>
      </c>
      <c r="K41" s="133" t="s">
        <v>174</v>
      </c>
      <c r="L41" s="133">
        <v>4</v>
      </c>
      <c r="M41" s="133">
        <v>0.0077</v>
      </c>
      <c r="N41" s="133">
        <v>0.0077</v>
      </c>
      <c r="O41" s="133"/>
      <c r="P41" s="133">
        <v>200</v>
      </c>
      <c r="Q41" s="133">
        <v>500</v>
      </c>
      <c r="R41" s="133" t="s">
        <v>184</v>
      </c>
    </row>
    <row r="42" spans="9:18" ht="12.75">
      <c r="I42" s="35"/>
      <c r="J42" s="133">
        <f t="shared" si="1"/>
        <v>40</v>
      </c>
      <c r="K42" s="133" t="s">
        <v>175</v>
      </c>
      <c r="L42" s="133">
        <v>10</v>
      </c>
      <c r="M42" s="133">
        <v>0.014</v>
      </c>
      <c r="N42" s="133">
        <v>0.014</v>
      </c>
      <c r="O42" s="133"/>
      <c r="P42" s="133">
        <v>200</v>
      </c>
      <c r="Q42" s="133">
        <v>400</v>
      </c>
      <c r="R42" s="133" t="s">
        <v>184</v>
      </c>
    </row>
    <row r="43" spans="9:18" ht="12.75">
      <c r="I43" s="35"/>
      <c r="J43" s="133">
        <f t="shared" si="1"/>
        <v>41</v>
      </c>
      <c r="K43" s="133" t="s">
        <v>176</v>
      </c>
      <c r="L43" s="133">
        <v>14</v>
      </c>
      <c r="M43" s="133">
        <v>0.022000000000000002</v>
      </c>
      <c r="N43" s="133">
        <v>0.022000000000000002</v>
      </c>
      <c r="O43" s="133"/>
      <c r="P43" s="133">
        <v>200</v>
      </c>
      <c r="Q43" s="133">
        <v>300</v>
      </c>
      <c r="R43" s="133" t="s">
        <v>184</v>
      </c>
    </row>
    <row r="44" spans="9:18" ht="12.75">
      <c r="I44" s="35"/>
      <c r="J44" s="133">
        <f t="shared" si="1"/>
        <v>42</v>
      </c>
      <c r="K44" s="133" t="s">
        <v>177</v>
      </c>
      <c r="L44" s="133">
        <v>8</v>
      </c>
      <c r="M44" s="133">
        <v>0.0285</v>
      </c>
      <c r="N44" s="133">
        <v>0.0285</v>
      </c>
      <c r="O44" s="133"/>
      <c r="P44" s="133">
        <v>200</v>
      </c>
      <c r="Q44" s="133">
        <v>500</v>
      </c>
      <c r="R44" s="133" t="s">
        <v>184</v>
      </c>
    </row>
    <row r="45" spans="9:18" ht="12.75">
      <c r="I45" s="35"/>
      <c r="J45" s="133">
        <f t="shared" si="1"/>
        <v>43</v>
      </c>
      <c r="K45" s="133" t="s">
        <v>178</v>
      </c>
      <c r="L45" s="133">
        <v>17</v>
      </c>
      <c r="M45" s="133">
        <v>0.051000000000000004</v>
      </c>
      <c r="N45" s="133">
        <v>0.051000000000000004</v>
      </c>
      <c r="O45" s="133"/>
      <c r="P45" s="133">
        <v>200</v>
      </c>
      <c r="Q45" s="133">
        <v>350</v>
      </c>
      <c r="R45" s="133" t="s">
        <v>184</v>
      </c>
    </row>
    <row r="46" spans="9:18" ht="12.75">
      <c r="I46" s="35"/>
      <c r="J46" s="133">
        <f t="shared" si="1"/>
        <v>44</v>
      </c>
      <c r="K46" s="133" t="s">
        <v>179</v>
      </c>
      <c r="L46" s="133">
        <v>25</v>
      </c>
      <c r="M46" s="133">
        <v>0.075</v>
      </c>
      <c r="N46" s="133">
        <v>0.075</v>
      </c>
      <c r="O46" s="133"/>
      <c r="P46" s="133">
        <v>150</v>
      </c>
      <c r="Q46" s="133">
        <v>250</v>
      </c>
      <c r="R46" s="133" t="s">
        <v>184</v>
      </c>
    </row>
    <row r="47" spans="9:18" ht="12.75">
      <c r="I47" s="35"/>
      <c r="J47" s="133">
        <f t="shared" si="1"/>
        <v>45</v>
      </c>
      <c r="K47" s="133" t="s">
        <v>180</v>
      </c>
      <c r="L47" s="133">
        <v>16</v>
      </c>
      <c r="M47" s="133">
        <v>0.093</v>
      </c>
      <c r="N47" s="133">
        <v>0.093</v>
      </c>
      <c r="O47" s="133"/>
      <c r="P47" s="133">
        <v>200</v>
      </c>
      <c r="Q47" s="133">
        <v>500</v>
      </c>
      <c r="R47" s="133" t="s">
        <v>184</v>
      </c>
    </row>
    <row r="48" spans="9:18" ht="12.75">
      <c r="I48" s="35"/>
      <c r="J48" s="133">
        <f t="shared" si="1"/>
        <v>46</v>
      </c>
      <c r="K48" s="133" t="s">
        <v>181</v>
      </c>
      <c r="L48" s="133">
        <v>35</v>
      </c>
      <c r="M48" s="133">
        <v>0.14300000000000002</v>
      </c>
      <c r="N48" s="133">
        <v>0.14300000000000002</v>
      </c>
      <c r="O48" s="133"/>
      <c r="P48" s="133">
        <v>150</v>
      </c>
      <c r="Q48" s="133">
        <v>250</v>
      </c>
      <c r="R48" s="133" t="s">
        <v>184</v>
      </c>
    </row>
    <row r="49" spans="9:18" ht="12.75">
      <c r="I49" s="35"/>
      <c r="J49" s="133">
        <f t="shared" si="1"/>
        <v>47</v>
      </c>
      <c r="K49" s="133" t="s">
        <v>165</v>
      </c>
      <c r="L49" s="133">
        <v>45</v>
      </c>
      <c r="M49" s="133">
        <v>0.0388</v>
      </c>
      <c r="N49" s="133">
        <v>0.0388</v>
      </c>
      <c r="O49" s="133"/>
      <c r="P49" s="133">
        <v>150</v>
      </c>
      <c r="Q49" s="133">
        <v>300</v>
      </c>
      <c r="R49" s="133" t="s">
        <v>184</v>
      </c>
    </row>
    <row r="50" spans="9:18" ht="12.75">
      <c r="I50" s="35"/>
      <c r="J50" s="133">
        <f t="shared" si="1"/>
        <v>48</v>
      </c>
      <c r="K50" s="133" t="s">
        <v>166</v>
      </c>
      <c r="L50" s="133">
        <v>80</v>
      </c>
      <c r="M50" s="133">
        <v>0.0627</v>
      </c>
      <c r="N50" s="133">
        <v>0.0627</v>
      </c>
      <c r="O50" s="133"/>
      <c r="P50" s="133">
        <v>150</v>
      </c>
      <c r="Q50" s="133">
        <v>300</v>
      </c>
      <c r="R50" s="133" t="s">
        <v>184</v>
      </c>
    </row>
    <row r="51" spans="9:18" ht="12.75">
      <c r="I51" s="35"/>
      <c r="J51" s="133">
        <f t="shared" si="1"/>
        <v>49</v>
      </c>
      <c r="K51" s="133" t="s">
        <v>167</v>
      </c>
      <c r="L51" s="133">
        <v>110</v>
      </c>
      <c r="M51" s="133">
        <v>0.08650000000000001</v>
      </c>
      <c r="N51" s="133">
        <v>0.08650000000000001</v>
      </c>
      <c r="O51" s="133"/>
      <c r="P51" s="133">
        <v>150</v>
      </c>
      <c r="Q51" s="133">
        <v>300</v>
      </c>
      <c r="R51" s="133" t="s">
        <v>184</v>
      </c>
    </row>
    <row r="52" spans="9:18" ht="12.75">
      <c r="I52" s="35"/>
      <c r="J52" s="133">
        <f t="shared" si="1"/>
        <v>50</v>
      </c>
      <c r="K52" s="133" t="s">
        <v>168</v>
      </c>
      <c r="L52" s="133">
        <v>80</v>
      </c>
      <c r="M52" s="133">
        <v>0.136</v>
      </c>
      <c r="N52" s="133">
        <v>0.136</v>
      </c>
      <c r="O52" s="133"/>
      <c r="P52" s="133">
        <v>150</v>
      </c>
      <c r="Q52" s="133">
        <v>300</v>
      </c>
      <c r="R52" s="133" t="s">
        <v>184</v>
      </c>
    </row>
    <row r="53" spans="9:18" ht="12.75">
      <c r="I53" s="35"/>
      <c r="J53" s="133">
        <f t="shared" si="1"/>
        <v>51</v>
      </c>
      <c r="K53" s="133" t="s">
        <v>169</v>
      </c>
      <c r="L53" s="133">
        <v>150</v>
      </c>
      <c r="M53" s="133">
        <v>0.24700000000000003</v>
      </c>
      <c r="N53" s="133">
        <v>0.24700000000000003</v>
      </c>
      <c r="O53" s="133"/>
      <c r="P53" s="133">
        <v>150</v>
      </c>
      <c r="Q53" s="133">
        <v>250</v>
      </c>
      <c r="R53" s="133" t="s">
        <v>184</v>
      </c>
    </row>
    <row r="54" spans="9:18" ht="12.75">
      <c r="I54" s="35"/>
      <c r="J54" s="133">
        <f t="shared" si="1"/>
        <v>52</v>
      </c>
      <c r="K54" s="133" t="s">
        <v>170</v>
      </c>
      <c r="L54" s="133">
        <v>200</v>
      </c>
      <c r="M54" s="133">
        <v>0.306</v>
      </c>
      <c r="N54" s="133">
        <v>0.306</v>
      </c>
      <c r="O54" s="133"/>
      <c r="P54" s="133">
        <v>150</v>
      </c>
      <c r="Q54" s="133">
        <v>250</v>
      </c>
      <c r="R54" s="133" t="s">
        <v>184</v>
      </c>
    </row>
  </sheetData>
  <sheetProtection sheet="1" objects="1" scenarios="1"/>
  <mergeCells count="2">
    <mergeCell ref="A1:G1"/>
    <mergeCell ref="I1:R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G29"/>
  <sheetViews>
    <sheetView workbookViewId="0" topLeftCell="A1">
      <selection activeCell="B10" sqref="B10"/>
    </sheetView>
  </sheetViews>
  <sheetFormatPr defaultColWidth="9.140625" defaultRowHeight="12.75"/>
  <cols>
    <col min="1" max="1" width="40.7109375" style="0" customWidth="1"/>
    <col min="2" max="2" width="10.7109375" style="0" customWidth="1"/>
    <col min="3" max="4" width="10.7109375" style="0" hidden="1" customWidth="1"/>
    <col min="5" max="5" width="10.7109375" style="0" customWidth="1"/>
  </cols>
  <sheetData>
    <row r="1" spans="1:7" ht="26.25">
      <c r="A1" s="226" t="s">
        <v>5</v>
      </c>
      <c r="B1" s="227"/>
      <c r="C1" s="227"/>
      <c r="D1" s="227"/>
      <c r="E1" s="227"/>
      <c r="F1" s="3"/>
      <c r="G1" s="3"/>
    </row>
    <row r="2" spans="1:7" ht="18">
      <c r="A2" s="2" t="s">
        <v>8</v>
      </c>
      <c r="B2" s="3"/>
      <c r="C2" s="3"/>
      <c r="D2" s="3"/>
      <c r="E2" s="3"/>
      <c r="F2" s="3"/>
      <c r="G2" s="3"/>
    </row>
    <row r="3" spans="1:7" ht="12.75">
      <c r="A3" s="3" t="s">
        <v>0</v>
      </c>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12.75">
      <c r="A8" s="3"/>
      <c r="B8" s="3"/>
      <c r="C8" s="3"/>
      <c r="D8" s="3"/>
      <c r="E8" s="3"/>
      <c r="F8" s="3"/>
      <c r="G8" s="3"/>
    </row>
    <row r="9" spans="1:7" ht="13.5" thickBot="1">
      <c r="A9" s="3"/>
      <c r="B9" s="3"/>
      <c r="C9" s="3"/>
      <c r="D9" s="3"/>
      <c r="E9" s="3"/>
      <c r="F9" s="3"/>
      <c r="G9" s="3"/>
    </row>
    <row r="10" spans="1:7" ht="12.75">
      <c r="A10" s="16" t="s">
        <v>10</v>
      </c>
      <c r="B10" s="7">
        <v>3</v>
      </c>
      <c r="C10" s="7">
        <v>3</v>
      </c>
      <c r="D10" s="19">
        <f>D12*D11/1000</f>
        <v>3</v>
      </c>
      <c r="E10" s="3"/>
      <c r="F10" s="3"/>
      <c r="G10" s="3"/>
    </row>
    <row r="11" spans="1:7" ht="12.75">
      <c r="A11" s="8" t="s">
        <v>11</v>
      </c>
      <c r="B11" s="9">
        <v>100</v>
      </c>
      <c r="C11" s="10">
        <f>1000*C10/C12</f>
        <v>100</v>
      </c>
      <c r="D11" s="9">
        <v>100</v>
      </c>
      <c r="E11" s="3"/>
      <c r="F11" s="3"/>
      <c r="G11" s="3"/>
    </row>
    <row r="12" spans="1:7" ht="13.5" thickBot="1">
      <c r="A12" s="17" t="s">
        <v>15</v>
      </c>
      <c r="B12" s="11">
        <f>INT(1000*B10/B11)</f>
        <v>30</v>
      </c>
      <c r="C12" s="20">
        <v>30</v>
      </c>
      <c r="D12" s="20">
        <v>30</v>
      </c>
      <c r="E12" s="3"/>
      <c r="F12" s="3"/>
      <c r="G12" s="3"/>
    </row>
    <row r="13" spans="1:7" ht="12.75">
      <c r="A13" s="224" t="str">
        <f>IF(OR(B10&lt;0,C10&lt;0,D10&lt;0,B11&lt;0,C11&lt;0,D11&lt;0,B12&lt;0,C12&lt;0,D12&lt;0,),"Enter values greater than zero",IF(OR(B10&gt;12,C10&gt;12,D10&gt;12),"Command voltage must be less than 12 VDC",IF(OR(B11&gt;300,C11&gt;300,D11&gt;300),"Cannot command more than 300% torque.",IF(OR(B12&lt;10,C12&lt;10,D12&lt;10,B12&gt;100,C12&gt;100,D12&gt;100),"Pn400 must be set between 10 and 100","Message Area"))))</f>
        <v>Message Area</v>
      </c>
      <c r="B13" s="3"/>
      <c r="C13" s="3"/>
      <c r="D13" s="3"/>
      <c r="E13" s="3"/>
      <c r="F13" s="3"/>
      <c r="G13" s="3"/>
    </row>
    <row r="14" spans="1:7" ht="12.75">
      <c r="A14" s="225"/>
      <c r="B14" s="3"/>
      <c r="C14" s="3"/>
      <c r="D14" s="3"/>
      <c r="E14" s="3"/>
      <c r="F14" s="3"/>
      <c r="G14" s="3"/>
    </row>
    <row r="15" spans="1:7" ht="12.75">
      <c r="A15" s="225"/>
      <c r="B15" s="3"/>
      <c r="C15" s="3"/>
      <c r="D15" s="3"/>
      <c r="E15" s="3"/>
      <c r="F15" s="3"/>
      <c r="G15" s="3"/>
    </row>
    <row r="16" spans="1:7" ht="12.75">
      <c r="A16" s="3"/>
      <c r="B16" s="3"/>
      <c r="C16" s="3"/>
      <c r="D16" s="3"/>
      <c r="E16" s="3"/>
      <c r="F16" s="3"/>
      <c r="G16" s="3"/>
    </row>
    <row r="17" spans="1:7" ht="12.75">
      <c r="A17" s="3"/>
      <c r="B17" s="3"/>
      <c r="C17" s="3"/>
      <c r="D17" s="3"/>
      <c r="E17" s="3"/>
      <c r="F17" s="3"/>
      <c r="G17" s="3"/>
    </row>
    <row r="18" spans="1:7" ht="12.75">
      <c r="A18" s="3"/>
      <c r="B18" s="3"/>
      <c r="C18" s="3"/>
      <c r="D18" s="3"/>
      <c r="E18" s="3"/>
      <c r="F18" s="3"/>
      <c r="G18" s="3"/>
    </row>
    <row r="19" spans="1:7" ht="12.75">
      <c r="A19" s="3"/>
      <c r="B19" s="3"/>
      <c r="C19" s="3"/>
      <c r="D19" s="3"/>
      <c r="E19" s="3"/>
      <c r="F19" s="3"/>
      <c r="G19" s="3"/>
    </row>
    <row r="20" spans="1:7" ht="12.75">
      <c r="A20" s="3"/>
      <c r="B20" s="3"/>
      <c r="C20" s="3"/>
      <c r="D20" s="3"/>
      <c r="E20" s="3"/>
      <c r="F20" s="3"/>
      <c r="G20" s="3"/>
    </row>
    <row r="21" spans="1:7" ht="12.75">
      <c r="A21" s="3"/>
      <c r="B21" s="3"/>
      <c r="C21" s="3"/>
      <c r="D21" s="3"/>
      <c r="E21" s="3"/>
      <c r="F21" s="3"/>
      <c r="G21" s="3"/>
    </row>
    <row r="22" spans="1:7" ht="12.75">
      <c r="A22" s="3"/>
      <c r="B22" s="3"/>
      <c r="C22" s="3"/>
      <c r="D22" s="3"/>
      <c r="E22" s="3"/>
      <c r="F22" s="3"/>
      <c r="G22" s="3"/>
    </row>
    <row r="23" spans="1:7" ht="12.75">
      <c r="A23" s="3"/>
      <c r="B23" s="3"/>
      <c r="C23" s="3"/>
      <c r="D23" s="3"/>
      <c r="E23" s="3"/>
      <c r="F23" s="3"/>
      <c r="G23" s="3"/>
    </row>
    <row r="24" spans="1:7" ht="12.75">
      <c r="A24" s="3"/>
      <c r="B24" s="3"/>
      <c r="C24" s="3"/>
      <c r="D24" s="3"/>
      <c r="E24" s="3"/>
      <c r="F24" s="3"/>
      <c r="G24" s="3"/>
    </row>
    <row r="25" spans="1:7" ht="12.75">
      <c r="A25" s="3"/>
      <c r="B25" s="3"/>
      <c r="C25" s="3"/>
      <c r="D25" s="3"/>
      <c r="E25" s="3"/>
      <c r="F25" s="3"/>
      <c r="G25" s="3"/>
    </row>
    <row r="26" spans="1:7" ht="12.75">
      <c r="A26" s="3"/>
      <c r="B26" s="3"/>
      <c r="C26" s="3"/>
      <c r="D26" s="3"/>
      <c r="E26" s="3"/>
      <c r="F26" s="3"/>
      <c r="G26" s="3"/>
    </row>
    <row r="27" spans="1:7" ht="12.75">
      <c r="A27" s="3"/>
      <c r="B27" s="3"/>
      <c r="C27" s="3"/>
      <c r="D27" s="3"/>
      <c r="E27" s="3"/>
      <c r="F27" s="3"/>
      <c r="G27" s="3"/>
    </row>
    <row r="28" spans="1:7" ht="12.75">
      <c r="A28" s="3"/>
      <c r="B28" s="3"/>
      <c r="C28" s="3"/>
      <c r="D28" s="3"/>
      <c r="E28" s="3"/>
      <c r="F28" s="3"/>
      <c r="G28" s="3"/>
    </row>
    <row r="29" spans="1:5" ht="12.75">
      <c r="A29" s="6"/>
      <c r="B29" s="6"/>
      <c r="C29" s="6"/>
      <c r="D29" s="6"/>
      <c r="E29" s="6"/>
    </row>
  </sheetData>
  <sheetProtection sheet="1" objects="1" scenarios="1"/>
  <mergeCells count="2">
    <mergeCell ref="A13:A15"/>
    <mergeCell ref="A1:E1"/>
  </mergeCells>
  <conditionalFormatting sqref="C10:D10">
    <cfRule type="cellIs" priority="1" dxfId="0" operator="notBetween" stopIfTrue="1">
      <formula>0</formula>
      <formula>12</formula>
    </cfRule>
  </conditionalFormatting>
  <conditionalFormatting sqref="C11:D11">
    <cfRule type="cellIs" priority="2" dxfId="0" operator="notBetween" stopIfTrue="1">
      <formula>0</formula>
      <formula>300</formula>
    </cfRule>
  </conditionalFormatting>
  <conditionalFormatting sqref="B10:B12">
    <cfRule type="expression" priority="3" dxfId="0" stopIfTrue="1">
      <formula>OR($B$12&lt;10,$B$12&gt;100)</formula>
    </cfRule>
  </conditionalFormatting>
  <conditionalFormatting sqref="C12">
    <cfRule type="cellIs" priority="4" dxfId="0" operator="notBetween" stopIfTrue="1">
      <formula>10</formula>
      <formula>100</formula>
    </cfRule>
    <cfRule type="expression" priority="5" dxfId="0" stopIfTrue="1">
      <formula>MOD($C$12,1)&lt;&gt;0</formula>
    </cfRule>
  </conditionalFormatting>
  <conditionalFormatting sqref="D12">
    <cfRule type="cellIs" priority="6" dxfId="0" operator="notBetween" stopIfTrue="1">
      <formula>10</formula>
      <formula>100</formula>
    </cfRule>
    <cfRule type="expression" priority="7" dxfId="0" stopIfTrue="1">
      <formula>MOD($D$12,1)&lt;&gt;0</formula>
    </cfRule>
  </conditionalFormatting>
  <printOptions/>
  <pageMargins left="0.75" right="0.75" top="1" bottom="1" header="0.5" footer="0.5"/>
  <pageSetup horizontalDpi="600" verticalDpi="600" orientation="portrait" scale="150" r:id="rId4"/>
  <headerFooter alignWithMargins="0">
    <oddFooter>&amp;L&amp;"Arial,Italic"&amp;5Yaskawa Electric America
2121 Norman Dr. South
Waukegan, IL  60085&amp;C&amp;8&amp;F
(c) Yaskawa Electric America&amp;R&amp;"Arial,Italic"&amp;5Created by
Yaskawa Electric America
Technical Training Services</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E31"/>
  <sheetViews>
    <sheetView workbookViewId="0" topLeftCell="A2">
      <selection activeCell="B10" sqref="B10"/>
    </sheetView>
  </sheetViews>
  <sheetFormatPr defaultColWidth="9.140625" defaultRowHeight="12.75"/>
  <cols>
    <col min="1" max="1" width="40.7109375" style="24" customWidth="1"/>
    <col min="2" max="2" width="20.7109375" style="24" customWidth="1"/>
    <col min="3" max="4" width="20.7109375" style="24" hidden="1" customWidth="1"/>
    <col min="5" max="5" width="20.7109375" style="24" customWidth="1"/>
    <col min="6" max="16384" width="9.140625" style="24" customWidth="1"/>
  </cols>
  <sheetData>
    <row r="1" spans="1:5" ht="18">
      <c r="A1" s="22" t="s">
        <v>5</v>
      </c>
      <c r="B1" s="34"/>
      <c r="C1" s="34"/>
      <c r="D1" s="34"/>
      <c r="E1" s="34"/>
    </row>
    <row r="2" spans="1:5" ht="26.25">
      <c r="A2" s="230" t="s">
        <v>5</v>
      </c>
      <c r="B2" s="227"/>
      <c r="C2" s="227"/>
      <c r="D2" s="227"/>
      <c r="E2" s="227"/>
    </row>
    <row r="3" spans="1:5" ht="18">
      <c r="A3" s="22" t="s">
        <v>9</v>
      </c>
      <c r="B3" s="23"/>
      <c r="C3" s="23"/>
      <c r="D3" s="23"/>
      <c r="E3" s="23"/>
    </row>
    <row r="4" spans="1:5" ht="12.75">
      <c r="A4" s="23" t="s">
        <v>0</v>
      </c>
      <c r="B4" s="23"/>
      <c r="C4" s="23"/>
      <c r="D4" s="23"/>
      <c r="E4" s="23"/>
    </row>
    <row r="5" spans="1:5" ht="12.75">
      <c r="A5" s="23"/>
      <c r="B5" s="23"/>
      <c r="C5" s="23"/>
      <c r="D5" s="23"/>
      <c r="E5" s="23"/>
    </row>
    <row r="6" spans="1:5" ht="12.75">
      <c r="A6" s="23"/>
      <c r="B6" s="23"/>
      <c r="C6" s="23"/>
      <c r="D6" s="23"/>
      <c r="E6" s="23"/>
    </row>
    <row r="7" spans="1:5" ht="23.25" customHeight="1">
      <c r="A7" s="23"/>
      <c r="B7" s="23"/>
      <c r="C7" s="23"/>
      <c r="D7" s="23"/>
      <c r="E7" s="23"/>
    </row>
    <row r="8" spans="1:5" ht="12.75">
      <c r="A8" s="23"/>
      <c r="B8" s="23"/>
      <c r="C8" s="23"/>
      <c r="D8" s="23"/>
      <c r="E8" s="23"/>
    </row>
    <row r="9" spans="1:5" ht="13.5" thickBot="1">
      <c r="A9" s="23"/>
      <c r="B9" s="23"/>
      <c r="C9" s="23"/>
      <c r="D9" s="23"/>
      <c r="E9" s="23"/>
    </row>
    <row r="10" spans="1:5" ht="12.75">
      <c r="A10" s="25" t="s">
        <v>10</v>
      </c>
      <c r="B10" s="7">
        <v>4</v>
      </c>
      <c r="C10" s="7">
        <v>6</v>
      </c>
      <c r="D10" s="28">
        <f>D12*D11/(D13*100)</f>
        <v>0.4</v>
      </c>
      <c r="E10" s="23"/>
    </row>
    <row r="11" spans="1:5" ht="12.75">
      <c r="A11" s="26" t="s">
        <v>12</v>
      </c>
      <c r="B11" s="9">
        <v>400</v>
      </c>
      <c r="C11" s="21">
        <f>100*C13*C10/C12</f>
        <v>3000</v>
      </c>
      <c r="D11" s="9">
        <v>200</v>
      </c>
      <c r="E11" s="23"/>
    </row>
    <row r="12" spans="1:5" ht="12.75">
      <c r="A12" s="26" t="s">
        <v>13</v>
      </c>
      <c r="B12" s="21">
        <f>INT(100*B10*B13/B11)</f>
        <v>3000</v>
      </c>
      <c r="C12" s="9">
        <v>600</v>
      </c>
      <c r="D12" s="9">
        <v>600</v>
      </c>
      <c r="E12" s="23"/>
    </row>
    <row r="13" spans="1:5" ht="13.5" thickBot="1">
      <c r="A13" s="49" t="s">
        <v>14</v>
      </c>
      <c r="B13" s="121">
        <f>INDEX(Motors!B3:G30,MATCH(Motors!A3,Motors!B3:B30),6)</f>
        <v>3000</v>
      </c>
      <c r="C13" s="121">
        <f>B13</f>
        <v>3000</v>
      </c>
      <c r="D13" s="122">
        <f>B13</f>
        <v>3000</v>
      </c>
      <c r="E13" s="23"/>
    </row>
    <row r="14" spans="1:5" ht="15.75" customHeight="1">
      <c r="A14" s="27"/>
      <c r="B14" s="120"/>
      <c r="C14" s="120"/>
      <c r="D14" s="120"/>
      <c r="E14" s="23"/>
    </row>
    <row r="15" spans="1:5" ht="12.75">
      <c r="A15" s="228" t="str">
        <f>IF(OR(B10&lt;0,B11&lt;0,B12&lt;0,C10&lt;0,C11&lt;0,C12&lt;0,D10&lt;0,D11&lt;0,D12&lt;0),"Values must be greater than zero.",IF(OR(MOD(B12,1)&lt;&gt;0,MOD(C12,1)&lt;&gt;0,MOD(D12,1)&lt;&gt;0,B12&lt;150,C12&lt;150,D12&lt;150,B12&gt;3000,C12&gt;3000,D12&gt;3000),"Pn300 must be an integer value between 150 and 3000",IF(OR(D10&gt;12),"The maximum command voltage is 12 VDC.  The commanded speed will not be reached","Message Area")))</f>
        <v>Message Area</v>
      </c>
      <c r="B15" s="23"/>
      <c r="C15" s="23"/>
      <c r="D15" s="23"/>
      <c r="E15" s="23"/>
    </row>
    <row r="16" spans="1:5" ht="12.75">
      <c r="A16" s="229"/>
      <c r="B16" s="23"/>
      <c r="C16" s="23"/>
      <c r="D16" s="23"/>
      <c r="E16" s="23"/>
    </row>
    <row r="17" spans="1:5" ht="12.75">
      <c r="A17" s="229"/>
      <c r="B17" s="23"/>
      <c r="C17" s="23"/>
      <c r="D17" s="23"/>
      <c r="E17" s="23"/>
    </row>
    <row r="18" spans="1:5" ht="12.75">
      <c r="A18" s="229"/>
      <c r="B18" s="23"/>
      <c r="C18" s="23"/>
      <c r="D18" s="23"/>
      <c r="E18" s="23"/>
    </row>
    <row r="19" spans="1:5" ht="12.75">
      <c r="A19" s="23"/>
      <c r="B19" s="23"/>
      <c r="C19" s="23"/>
      <c r="D19" s="23"/>
      <c r="E19" s="23"/>
    </row>
    <row r="20" spans="1:5" ht="12.75">
      <c r="A20" s="23"/>
      <c r="B20" s="23"/>
      <c r="C20" s="23"/>
      <c r="D20" s="23"/>
      <c r="E20" s="23"/>
    </row>
    <row r="21" spans="1:5" ht="12.75">
      <c r="A21" s="23"/>
      <c r="B21" s="23"/>
      <c r="C21" s="23"/>
      <c r="D21" s="23"/>
      <c r="E21" s="23"/>
    </row>
    <row r="22" spans="1:5" ht="12.75">
      <c r="A22" s="23"/>
      <c r="B22" s="23"/>
      <c r="C22" s="23"/>
      <c r="D22" s="23"/>
      <c r="E22" s="23"/>
    </row>
    <row r="23" spans="1:5" ht="12.75">
      <c r="A23" s="23"/>
      <c r="B23" s="23"/>
      <c r="C23" s="23"/>
      <c r="D23" s="23"/>
      <c r="E23" s="23"/>
    </row>
    <row r="24" spans="1:5" ht="12.75">
      <c r="A24" s="23"/>
      <c r="B24" s="23"/>
      <c r="C24" s="23"/>
      <c r="D24" s="23"/>
      <c r="E24" s="23"/>
    </row>
    <row r="25" spans="1:5" ht="12.75">
      <c r="A25" s="23"/>
      <c r="B25" s="23"/>
      <c r="C25" s="23"/>
      <c r="D25" s="23"/>
      <c r="E25" s="23"/>
    </row>
    <row r="26" spans="1:5" ht="12.75">
      <c r="A26" s="23"/>
      <c r="B26" s="23"/>
      <c r="C26" s="23"/>
      <c r="D26" s="23"/>
      <c r="E26" s="23"/>
    </row>
    <row r="27" spans="1:5" ht="12.75">
      <c r="A27" s="23"/>
      <c r="B27" s="23"/>
      <c r="C27" s="23"/>
      <c r="D27" s="23"/>
      <c r="E27" s="23"/>
    </row>
    <row r="28" spans="1:5" ht="12.75">
      <c r="A28" s="23"/>
      <c r="B28" s="23"/>
      <c r="C28" s="23"/>
      <c r="D28" s="23"/>
      <c r="E28" s="23"/>
    </row>
    <row r="29" spans="1:5" ht="12.75">
      <c r="A29" s="23"/>
      <c r="B29" s="23"/>
      <c r="C29" s="23"/>
      <c r="D29" s="23"/>
      <c r="E29" s="23"/>
    </row>
    <row r="30" spans="1:5" ht="12.75">
      <c r="A30" s="23"/>
      <c r="B30" s="23"/>
      <c r="C30" s="23"/>
      <c r="D30" s="23"/>
      <c r="E30" s="23"/>
    </row>
    <row r="31" spans="1:5" ht="12.75">
      <c r="A31" s="23"/>
      <c r="B31" s="23"/>
      <c r="C31" s="23"/>
      <c r="D31" s="23"/>
      <c r="E31" s="23"/>
    </row>
  </sheetData>
  <sheetProtection sheet="1" objects="1" scenarios="1"/>
  <mergeCells count="2">
    <mergeCell ref="A15:A18"/>
    <mergeCell ref="A2:E2"/>
  </mergeCells>
  <conditionalFormatting sqref="B10 D10">
    <cfRule type="cellIs" priority="1" dxfId="0" operator="notBetween" stopIfTrue="1">
      <formula>0</formula>
      <formula>12</formula>
    </cfRule>
  </conditionalFormatting>
  <conditionalFormatting sqref="B11 C10:C11 D11">
    <cfRule type="cellIs" priority="2" dxfId="0" operator="lessThan" stopIfTrue="1">
      <formula>0</formula>
    </cfRule>
  </conditionalFormatting>
  <conditionalFormatting sqref="B12">
    <cfRule type="cellIs" priority="3" dxfId="0" operator="notBetween" stopIfTrue="1">
      <formula>150</formula>
      <formula>3000</formula>
    </cfRule>
  </conditionalFormatting>
  <conditionalFormatting sqref="C12">
    <cfRule type="cellIs" priority="4" dxfId="0" operator="notBetween" stopIfTrue="1">
      <formula>150</formula>
      <formula>3000</formula>
    </cfRule>
    <cfRule type="expression" priority="5" dxfId="0" stopIfTrue="1">
      <formula>MOD($C$12,1)&lt;&gt;0</formula>
    </cfRule>
  </conditionalFormatting>
  <conditionalFormatting sqref="D12">
    <cfRule type="cellIs" priority="6" dxfId="0" operator="notBetween" stopIfTrue="1">
      <formula>150</formula>
      <formula>3000</formula>
    </cfRule>
    <cfRule type="expression" priority="7" dxfId="0" stopIfTrue="1">
      <formula>MOD($D$12,1)&lt;&gt;0</formula>
    </cfRule>
  </conditionalFormatting>
  <printOptions/>
  <pageMargins left="0.75" right="0.75" top="1" bottom="1" header="0.5" footer="0.5"/>
  <pageSetup horizontalDpi="600" verticalDpi="600" orientation="portrait" scale="150" r:id="rId4"/>
  <headerFooter alignWithMargins="0">
    <oddFooter>&amp;L&amp;"Arial,Italic"&amp;5Yaskawa Electric America
2121 Norman Dr. South
Waukegan, IL  60085&amp;C&amp;8&amp;F
(c) Yaskawa Electric America&amp;R&amp;"Arial,Italic"&amp;5Created by
Yaskawa Electric America
Technical Training Services</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2"/>
  <dimension ref="A1:K44"/>
  <sheetViews>
    <sheetView workbookViewId="0" topLeftCell="A1">
      <selection activeCell="A30" sqref="A30"/>
    </sheetView>
  </sheetViews>
  <sheetFormatPr defaultColWidth="9.140625" defaultRowHeight="12.75"/>
  <cols>
    <col min="1" max="1" width="40.7109375" style="0" customWidth="1"/>
    <col min="2" max="2" width="15.7109375" style="33" customWidth="1"/>
    <col min="3" max="3" width="15.7109375" style="33" hidden="1" customWidth="1"/>
    <col min="4" max="4" width="15.7109375" style="1" hidden="1" customWidth="1"/>
    <col min="5" max="5" width="15.7109375" style="6" customWidth="1"/>
    <col min="6" max="6" width="10.7109375" style="6" customWidth="1"/>
    <col min="7" max="7" width="10.7109375" style="0" customWidth="1"/>
  </cols>
  <sheetData>
    <row r="1" spans="1:11" ht="26.25">
      <c r="A1" s="226" t="s">
        <v>5</v>
      </c>
      <c r="B1" s="227"/>
      <c r="C1" s="227"/>
      <c r="D1" s="227"/>
      <c r="E1" s="3"/>
      <c r="F1" s="3"/>
      <c r="G1" s="3"/>
      <c r="H1" s="3"/>
      <c r="I1" s="3"/>
      <c r="J1" s="3"/>
      <c r="K1" s="3"/>
    </row>
    <row r="2" spans="1:11" ht="18">
      <c r="A2" s="2" t="s">
        <v>6</v>
      </c>
      <c r="B2" s="119"/>
      <c r="C2" s="119"/>
      <c r="D2" s="4"/>
      <c r="E2" s="4"/>
      <c r="F2" s="3"/>
      <c r="G2" s="3"/>
      <c r="H2" s="3"/>
      <c r="I2" s="3"/>
      <c r="J2" s="3"/>
      <c r="K2" s="3"/>
    </row>
    <row r="3" spans="1:11" ht="12.75">
      <c r="A3" s="5" t="s">
        <v>0</v>
      </c>
      <c r="B3" s="119"/>
      <c r="C3" s="119"/>
      <c r="D3" s="4"/>
      <c r="E3" s="4"/>
      <c r="F3" s="3"/>
      <c r="G3" s="3"/>
      <c r="H3" s="3"/>
      <c r="I3" s="3"/>
      <c r="J3" s="3"/>
      <c r="K3" s="3"/>
    </row>
    <row r="4" spans="1:11" ht="12.75">
      <c r="A4" s="4"/>
      <c r="B4" s="119"/>
      <c r="C4" s="119"/>
      <c r="D4" s="5"/>
      <c r="E4" s="3"/>
      <c r="F4" s="3"/>
      <c r="G4" s="3"/>
      <c r="H4" s="3"/>
      <c r="I4" s="3"/>
      <c r="J4" s="3"/>
      <c r="K4" s="3"/>
    </row>
    <row r="5" spans="1:11" ht="12.75">
      <c r="A5" s="4"/>
      <c r="B5" s="119"/>
      <c r="C5" s="119"/>
      <c r="D5" s="5"/>
      <c r="E5" s="3"/>
      <c r="F5" s="3"/>
      <c r="G5" s="3"/>
      <c r="H5" s="3"/>
      <c r="I5" s="3"/>
      <c r="J5" s="3"/>
      <c r="K5" s="3"/>
    </row>
    <row r="6" spans="1:11" ht="12.75">
      <c r="A6" s="4"/>
      <c r="B6" s="119"/>
      <c r="C6" s="119"/>
      <c r="D6" s="5"/>
      <c r="E6" s="3"/>
      <c r="F6" s="3"/>
      <c r="G6" s="3"/>
      <c r="H6" s="3"/>
      <c r="I6" s="3"/>
      <c r="J6" s="3"/>
      <c r="K6" s="3"/>
    </row>
    <row r="7" spans="1:11" ht="12.75">
      <c r="A7" s="4"/>
      <c r="B7" s="119"/>
      <c r="C7" s="119"/>
      <c r="D7" s="5"/>
      <c r="E7" s="3"/>
      <c r="F7" s="3"/>
      <c r="G7" s="3"/>
      <c r="H7" s="3"/>
      <c r="I7" s="3"/>
      <c r="J7" s="3"/>
      <c r="K7" s="3"/>
    </row>
    <row r="8" spans="1:11" ht="12.75">
      <c r="A8" s="4"/>
      <c r="B8" s="119"/>
      <c r="C8" s="119"/>
      <c r="D8" s="5"/>
      <c r="E8" s="3"/>
      <c r="F8" s="3"/>
      <c r="G8" s="3"/>
      <c r="H8" s="3"/>
      <c r="I8" s="3"/>
      <c r="J8" s="3"/>
      <c r="K8" s="3"/>
    </row>
    <row r="9" spans="1:11" ht="13.5" thickBot="1">
      <c r="A9" s="4"/>
      <c r="B9" s="119"/>
      <c r="C9" s="119"/>
      <c r="D9" s="5"/>
      <c r="E9" s="3"/>
      <c r="F9" s="3"/>
      <c r="G9" s="3"/>
      <c r="H9" s="3"/>
      <c r="I9" s="3"/>
      <c r="J9" s="3"/>
      <c r="K9" s="3"/>
    </row>
    <row r="10" spans="1:11" ht="12.75">
      <c r="A10" s="39" t="s">
        <v>32</v>
      </c>
      <c r="B10" s="201" t="s">
        <v>257</v>
      </c>
      <c r="C10" s="202"/>
      <c r="D10" s="5"/>
      <c r="E10" s="8"/>
      <c r="F10" s="3"/>
      <c r="G10" s="3"/>
      <c r="H10" s="3"/>
      <c r="I10" s="3"/>
      <c r="J10" s="3"/>
      <c r="K10" s="3"/>
    </row>
    <row r="11" spans="1:11" ht="12.75">
      <c r="A11" s="41" t="str">
        <f>CONCATENATE(B10," moved per machine shaft revolution")</f>
        <v>in moved per machine shaft revolution</v>
      </c>
      <c r="B11" s="30">
        <v>1</v>
      </c>
      <c r="C11" s="30">
        <v>1</v>
      </c>
      <c r="D11" s="5"/>
      <c r="E11" s="3"/>
      <c r="F11" s="3"/>
      <c r="G11" s="3"/>
      <c r="H11" s="3"/>
      <c r="I11" s="3"/>
      <c r="J11" s="3"/>
      <c r="K11" s="3"/>
    </row>
    <row r="12" spans="1:11" ht="12.75">
      <c r="A12" s="40" t="s">
        <v>35</v>
      </c>
      <c r="B12" s="30">
        <v>1</v>
      </c>
      <c r="C12" s="30">
        <v>1</v>
      </c>
      <c r="D12" s="5"/>
      <c r="E12" s="3"/>
      <c r="F12" s="3"/>
      <c r="G12" s="3"/>
      <c r="H12" s="3"/>
      <c r="I12" s="3"/>
      <c r="J12" s="3"/>
      <c r="K12" s="3"/>
    </row>
    <row r="13" spans="1:11" ht="12.75">
      <c r="A13" s="42" t="s">
        <v>38</v>
      </c>
      <c r="B13" s="30">
        <v>1</v>
      </c>
      <c r="C13" s="30">
        <v>1</v>
      </c>
      <c r="D13" s="5"/>
      <c r="E13" s="3"/>
      <c r="F13" s="3"/>
      <c r="G13" s="3"/>
      <c r="H13" s="3"/>
      <c r="I13" s="3"/>
      <c r="J13" s="3"/>
      <c r="K13" s="3"/>
    </row>
    <row r="14" spans="1:11" ht="12.75">
      <c r="A14" s="40" t="str">
        <f>CONCATENATE("Command pulses per ",B10)</f>
        <v>Command pulses per in</v>
      </c>
      <c r="B14" s="30">
        <v>1000</v>
      </c>
      <c r="C14" s="31">
        <f>1/(C16/C17*((C11/C12)/C15))</f>
        <v>1000</v>
      </c>
      <c r="D14" s="5"/>
      <c r="E14" s="3"/>
      <c r="F14" s="3"/>
      <c r="G14" s="3"/>
      <c r="H14" s="3"/>
      <c r="I14" s="3"/>
      <c r="J14" s="3"/>
      <c r="K14" s="3"/>
    </row>
    <row r="15" spans="1:11" ht="16.5" customHeight="1" thickBot="1">
      <c r="A15" s="8"/>
      <c r="B15" s="45">
        <f>INDEX(Motors!B3:G30,MATCH(Motors!A3,Motors!B3:B30),4)</f>
        <v>8192</v>
      </c>
      <c r="C15" s="46">
        <f>B15</f>
        <v>8192</v>
      </c>
      <c r="D15" s="5"/>
      <c r="E15" s="3"/>
      <c r="F15" s="3"/>
      <c r="G15" s="3"/>
      <c r="H15" s="3"/>
      <c r="I15" s="3"/>
      <c r="J15" s="3"/>
      <c r="K15" s="3"/>
    </row>
    <row r="16" spans="1:11" ht="13.5" thickBot="1">
      <c r="A16" s="14" t="s">
        <v>33</v>
      </c>
      <c r="B16" s="47">
        <f>pn202((B12*B15),(B11*B13*B14))</f>
        <v>1024</v>
      </c>
      <c r="C16" s="30">
        <v>1024</v>
      </c>
      <c r="D16" s="5"/>
      <c r="E16" s="3"/>
      <c r="F16" s="3"/>
      <c r="G16" s="3"/>
      <c r="H16" s="3"/>
      <c r="I16" s="3"/>
      <c r="J16" s="3"/>
      <c r="K16" s="3"/>
    </row>
    <row r="17" spans="1:11" ht="13.5" thickBot="1">
      <c r="A17" s="14" t="s">
        <v>34</v>
      </c>
      <c r="B17" s="47">
        <f>pn203((B12*B15),(B11*B13*B14))</f>
        <v>125</v>
      </c>
      <c r="C17" s="30">
        <v>125</v>
      </c>
      <c r="D17" s="5"/>
      <c r="E17" s="3"/>
      <c r="F17" s="3"/>
      <c r="G17" s="3"/>
      <c r="H17" s="3"/>
      <c r="I17" s="3"/>
      <c r="J17" s="3"/>
      <c r="K17" s="3"/>
    </row>
    <row r="18" spans="1:11" ht="12.75">
      <c r="A18" s="29" t="s">
        <v>23</v>
      </c>
      <c r="B18" s="194" t="str">
        <f>CONCATENATE((1/B14)," ",B10)</f>
        <v>0.001 in</v>
      </c>
      <c r="C18" s="195" t="str">
        <f>CONCATENATE(C16/C17*((C11/C12)/C15)," ",B10)</f>
        <v>0.001 in</v>
      </c>
      <c r="D18" s="5"/>
      <c r="E18" s="3"/>
      <c r="F18" s="3"/>
      <c r="G18" s="3"/>
      <c r="H18" s="3"/>
      <c r="I18" s="3"/>
      <c r="J18" s="3"/>
      <c r="K18" s="3"/>
    </row>
    <row r="19" spans="1:11" ht="12.75" customHeight="1" thickBot="1">
      <c r="A19" s="15" t="s">
        <v>264</v>
      </c>
      <c r="B19" s="32">
        <f>IF(OR(B16=0,B17=0),"Not Applicable",B16/B17)</f>
        <v>8.192</v>
      </c>
      <c r="C19" s="32">
        <f>C16/C17</f>
        <v>8.192</v>
      </c>
      <c r="D19" s="5"/>
      <c r="E19" s="3"/>
      <c r="F19" s="3"/>
      <c r="G19" s="3"/>
      <c r="H19" s="3"/>
      <c r="I19" s="3"/>
      <c r="J19" s="3"/>
      <c r="K19" s="3"/>
    </row>
    <row r="20" spans="1:11" ht="12.75">
      <c r="A20" s="231" t="str">
        <f>IF(B38&lt;&gt;0,"Encoder Counts per R.U. should be between 0.01 and 100.  Please adjust input values for proper servoamplifier performance",IF(B37&lt;&gt;0,CONCATENATE("there are no parameter settings that exactly match the machine characteristics input. ",B14," command pulses will move the machine ",B40," ",B10),"Message Area"))</f>
        <v>Message Area</v>
      </c>
      <c r="B20" s="118"/>
      <c r="C20" s="118"/>
      <c r="D20" s="5"/>
      <c r="E20" s="3"/>
      <c r="F20" s="3"/>
      <c r="G20" s="3"/>
      <c r="H20" s="3"/>
      <c r="I20" s="3"/>
      <c r="J20" s="3"/>
      <c r="K20" s="3"/>
    </row>
    <row r="21" spans="1:11" ht="12.75">
      <c r="A21" s="232"/>
      <c r="B21" s="118"/>
      <c r="C21" s="118"/>
      <c r="D21" s="5"/>
      <c r="E21" s="3"/>
      <c r="F21" s="3"/>
      <c r="G21" s="3"/>
      <c r="H21" s="3"/>
      <c r="I21" s="3"/>
      <c r="J21" s="3"/>
      <c r="K21" s="3"/>
    </row>
    <row r="22" spans="1:11" ht="12.75">
      <c r="A22" s="232"/>
      <c r="B22" s="118"/>
      <c r="C22" s="118"/>
      <c r="D22" s="5"/>
      <c r="E22" s="3"/>
      <c r="F22" s="3"/>
      <c r="G22" s="3"/>
      <c r="H22" s="3"/>
      <c r="I22" s="3"/>
      <c r="J22" s="3"/>
      <c r="K22" s="3"/>
    </row>
    <row r="23" spans="1:11" ht="12.75">
      <c r="A23" s="232"/>
      <c r="B23" s="87"/>
      <c r="C23" s="87"/>
      <c r="D23" s="5"/>
      <c r="E23" s="3"/>
      <c r="F23" s="3"/>
      <c r="G23" s="3"/>
      <c r="H23" s="3"/>
      <c r="I23" s="3"/>
      <c r="J23" s="3"/>
      <c r="K23" s="3"/>
    </row>
    <row r="24" spans="1:11" ht="12.75">
      <c r="A24" s="232"/>
      <c r="B24" s="87"/>
      <c r="C24" s="87"/>
      <c r="D24" s="5"/>
      <c r="E24" s="3"/>
      <c r="F24" s="3"/>
      <c r="G24" s="3"/>
      <c r="H24" s="3"/>
      <c r="I24" s="3"/>
      <c r="J24" s="3"/>
      <c r="K24" s="3"/>
    </row>
    <row r="25" spans="1:11" ht="12.75" hidden="1">
      <c r="A25" s="231" t="str">
        <f>IF(OR(C17&gt;65535,C17&lt;1,MOD(C17,1)&lt;&gt;0,C16&gt;65535,C16&lt;1,MOD(C16,1)&lt;&gt;0),"Please verify the value of Pn202 and Pn203.  Both should be integer values between 1 and 65535","Message Area")</f>
        <v>Message Area</v>
      </c>
      <c r="B25" s="87"/>
      <c r="C25" s="87"/>
      <c r="D25" s="5"/>
      <c r="E25" s="3"/>
      <c r="F25" s="3"/>
      <c r="G25" s="3"/>
      <c r="H25" s="3"/>
      <c r="I25" s="3"/>
      <c r="J25" s="3"/>
      <c r="K25" s="3"/>
    </row>
    <row r="26" spans="1:11" ht="12.75" hidden="1">
      <c r="A26" s="232"/>
      <c r="B26" s="87"/>
      <c r="C26" s="87"/>
      <c r="D26" s="5"/>
      <c r="E26" s="3"/>
      <c r="F26" s="3"/>
      <c r="G26" s="3"/>
      <c r="H26" s="3"/>
      <c r="I26" s="3"/>
      <c r="J26" s="3"/>
      <c r="K26" s="3"/>
    </row>
    <row r="27" spans="1:11" ht="12.75" hidden="1">
      <c r="A27" s="232"/>
      <c r="B27" s="87"/>
      <c r="C27" s="87"/>
      <c r="D27" s="5"/>
      <c r="E27" s="3"/>
      <c r="F27" s="3"/>
      <c r="G27" s="3"/>
      <c r="H27" s="3"/>
      <c r="I27" s="3"/>
      <c r="J27" s="3"/>
      <c r="K27" s="3"/>
    </row>
    <row r="28" spans="1:11" ht="12.75" hidden="1">
      <c r="A28" s="232"/>
      <c r="B28" s="87"/>
      <c r="C28" s="87"/>
      <c r="D28" s="5"/>
      <c r="E28" s="3"/>
      <c r="F28" s="3"/>
      <c r="G28" s="3"/>
      <c r="H28" s="3"/>
      <c r="I28" s="3"/>
      <c r="J28" s="3"/>
      <c r="K28" s="3"/>
    </row>
    <row r="29" spans="1:11" ht="12.75" hidden="1">
      <c r="A29" s="232"/>
      <c r="B29" s="87"/>
      <c r="C29" s="87"/>
      <c r="D29" s="5"/>
      <c r="E29" s="3"/>
      <c r="F29" s="3"/>
      <c r="G29" s="3"/>
      <c r="H29" s="3"/>
      <c r="I29" s="3"/>
      <c r="J29" s="3"/>
      <c r="K29" s="3"/>
    </row>
    <row r="30" spans="1:11" ht="12.75">
      <c r="A30" s="3"/>
      <c r="B30" s="87"/>
      <c r="C30" s="87"/>
      <c r="D30" s="5"/>
      <c r="E30" s="3"/>
      <c r="F30" s="3"/>
      <c r="G30" s="3"/>
      <c r="H30" s="3"/>
      <c r="I30" s="3"/>
      <c r="J30" s="3"/>
      <c r="K30" s="3"/>
    </row>
    <row r="31" spans="1:11" ht="12.75">
      <c r="A31" s="3"/>
      <c r="B31" s="87"/>
      <c r="C31" s="87"/>
      <c r="D31" s="5"/>
      <c r="E31" s="3"/>
      <c r="F31" s="3"/>
      <c r="G31" s="3"/>
      <c r="H31" s="3"/>
      <c r="I31" s="3"/>
      <c r="J31" s="3"/>
      <c r="K31" s="3"/>
    </row>
    <row r="32" spans="1:11" ht="12.75">
      <c r="A32" s="3"/>
      <c r="B32" s="87"/>
      <c r="C32" s="87"/>
      <c r="D32" s="5"/>
      <c r="E32" s="3"/>
      <c r="F32" s="3"/>
      <c r="G32" s="3"/>
      <c r="H32" s="3"/>
      <c r="I32" s="3"/>
      <c r="J32" s="3"/>
      <c r="K32" s="3"/>
    </row>
    <row r="33" spans="1:11" ht="12.75">
      <c r="A33" s="3"/>
      <c r="B33" s="87"/>
      <c r="C33" s="87"/>
      <c r="D33" s="5"/>
      <c r="E33" s="3"/>
      <c r="F33" s="3"/>
      <c r="G33" s="3"/>
      <c r="H33" s="3"/>
      <c r="I33" s="3"/>
      <c r="J33" s="3"/>
      <c r="K33" s="3"/>
    </row>
    <row r="34" spans="1:11" ht="12.75" hidden="1">
      <c r="A34" s="3"/>
      <c r="B34" s="87">
        <f>B11*B15</f>
        <v>8192</v>
      </c>
      <c r="C34" s="87"/>
      <c r="D34" s="5"/>
      <c r="E34" s="3" t="s">
        <v>261</v>
      </c>
      <c r="F34" s="3">
        <f>B34/B35</f>
        <v>8.192</v>
      </c>
      <c r="G34" s="3"/>
      <c r="H34" s="3"/>
      <c r="I34" s="3"/>
      <c r="J34" s="3"/>
      <c r="K34" s="3"/>
    </row>
    <row r="35" spans="1:11" ht="12.75" hidden="1">
      <c r="A35" s="3"/>
      <c r="B35" s="87">
        <f>B11*B13*B14</f>
        <v>1000</v>
      </c>
      <c r="C35" s="87"/>
      <c r="D35" s="5"/>
      <c r="E35" s="3" t="s">
        <v>262</v>
      </c>
      <c r="F35" s="3"/>
      <c r="G35" s="3"/>
      <c r="H35" s="3"/>
      <c r="I35" s="3"/>
      <c r="J35" s="3"/>
      <c r="K35" s="3"/>
    </row>
    <row r="36" spans="1:11" ht="12.75" hidden="1">
      <c r="A36" s="3"/>
      <c r="B36" s="87">
        <f>getn((B12*B15),(B11*B13*B14))</f>
        <v>8.192</v>
      </c>
      <c r="C36" s="87"/>
      <c r="D36" s="5"/>
      <c r="E36" s="3" t="s">
        <v>260</v>
      </c>
      <c r="F36" s="3"/>
      <c r="G36" s="3"/>
      <c r="H36" s="3"/>
      <c r="I36" s="3"/>
      <c r="J36" s="3"/>
      <c r="K36" s="3"/>
    </row>
    <row r="37" spans="1:11" ht="12.75" hidden="1">
      <c r="A37" s="3"/>
      <c r="B37" s="87">
        <f>getd((B12*B15),(B11*B13*B14))</f>
        <v>0</v>
      </c>
      <c r="C37" s="87"/>
      <c r="D37" s="5"/>
      <c r="E37" s="3" t="s">
        <v>259</v>
      </c>
      <c r="F37" s="3"/>
      <c r="G37" s="3"/>
      <c r="H37" s="3"/>
      <c r="I37" s="3"/>
      <c r="J37" s="3"/>
      <c r="K37" s="3"/>
    </row>
    <row r="38" spans="1:11" ht="12.75" hidden="1">
      <c r="A38" s="3"/>
      <c r="B38" s="87">
        <f>getr((B12*B15),(B11*B13*B14))</f>
        <v>0</v>
      </c>
      <c r="C38" s="87"/>
      <c r="D38" s="5"/>
      <c r="E38" s="3" t="s">
        <v>258</v>
      </c>
      <c r="F38" s="3"/>
      <c r="G38" s="3"/>
      <c r="H38" s="3"/>
      <c r="I38" s="3"/>
      <c r="J38" s="3"/>
      <c r="K38" s="3"/>
    </row>
    <row r="39" spans="1:11" ht="12.75" hidden="1">
      <c r="A39" s="3"/>
      <c r="B39" s="87"/>
      <c r="C39" s="87"/>
      <c r="D39" s="5"/>
      <c r="E39" s="3"/>
      <c r="F39" s="3"/>
      <c r="G39" s="3"/>
      <c r="H39" s="3"/>
      <c r="I39" s="3"/>
      <c r="J39" s="3"/>
      <c r="K39" s="3"/>
    </row>
    <row r="40" spans="1:11" ht="12.75" hidden="1">
      <c r="A40" s="3"/>
      <c r="B40" s="87">
        <f>B14*B19/B15*B13/B12*B11</f>
        <v>1</v>
      </c>
      <c r="C40" s="87"/>
      <c r="D40" s="5"/>
      <c r="E40" s="3" t="s">
        <v>263</v>
      </c>
      <c r="F40" s="3"/>
      <c r="G40" s="3"/>
      <c r="H40" s="3"/>
      <c r="I40" s="3"/>
      <c r="J40" s="3"/>
      <c r="K40" s="3"/>
    </row>
    <row r="41" spans="1:11" ht="12.75">
      <c r="A41" s="3"/>
      <c r="B41" s="87"/>
      <c r="C41" s="87"/>
      <c r="D41" s="5"/>
      <c r="E41" s="3"/>
      <c r="F41" s="3"/>
      <c r="G41" s="3"/>
      <c r="H41" s="3"/>
      <c r="I41" s="3"/>
      <c r="J41" s="3"/>
      <c r="K41" s="3"/>
    </row>
    <row r="42" spans="1:11" ht="12.75">
      <c r="A42" s="3"/>
      <c r="B42" s="87"/>
      <c r="C42" s="87"/>
      <c r="D42" s="5"/>
      <c r="E42" s="3"/>
      <c r="F42" s="3"/>
      <c r="G42" s="3"/>
      <c r="H42" s="3"/>
      <c r="I42" s="3"/>
      <c r="J42" s="3"/>
      <c r="K42" s="3"/>
    </row>
    <row r="43" spans="1:11" ht="12.75">
      <c r="A43" s="3"/>
      <c r="B43" s="87"/>
      <c r="C43" s="87"/>
      <c r="D43" s="5"/>
      <c r="E43" s="3"/>
      <c r="F43" s="3"/>
      <c r="G43" s="3"/>
      <c r="H43" s="3"/>
      <c r="I43" s="3"/>
      <c r="J43" s="3"/>
      <c r="K43" s="3"/>
    </row>
    <row r="44" spans="1:11" ht="12.75">
      <c r="A44" s="3"/>
      <c r="B44" s="87"/>
      <c r="C44" s="87"/>
      <c r="D44" s="5"/>
      <c r="E44" s="3"/>
      <c r="F44" s="3"/>
      <c r="G44" s="3"/>
      <c r="H44" s="3"/>
      <c r="I44" s="3"/>
      <c r="J44" s="3"/>
      <c r="K44" s="3"/>
    </row>
  </sheetData>
  <sheetProtection sheet="1" objects="1" scenarios="1"/>
  <mergeCells count="4">
    <mergeCell ref="A20:A24"/>
    <mergeCell ref="B10:C10"/>
    <mergeCell ref="A1:D1"/>
    <mergeCell ref="A25:A29"/>
  </mergeCells>
  <conditionalFormatting sqref="B12">
    <cfRule type="expression" priority="1" dxfId="0" stopIfTrue="1">
      <formula>"mod(+$B$12,1)&lt;&gt;0"</formula>
    </cfRule>
  </conditionalFormatting>
  <conditionalFormatting sqref="B16:B17">
    <cfRule type="cellIs" priority="2" dxfId="0" operator="equal" stopIfTrue="1">
      <formula>0</formula>
    </cfRule>
  </conditionalFormatting>
  <conditionalFormatting sqref="B19">
    <cfRule type="expression" priority="3" dxfId="0" stopIfTrue="1">
      <formula>$B$16=0</formula>
    </cfRule>
  </conditionalFormatting>
  <printOptions/>
  <pageMargins left="0.75" right="0.75" top="1" bottom="1" header="0.5" footer="0.5"/>
  <pageSetup horizontalDpi="600" verticalDpi="600" orientation="portrait" scale="150" r:id="rId4"/>
  <headerFooter alignWithMargins="0">
    <oddFooter>&amp;L&amp;"Arial,Italic"&amp;5Yaskawa Electric America
2121 Norman Dr. South
Waukegan, IL  60085&amp;C&amp;8&amp;F
(c) Yaskawa Electric America&amp;R&amp;"Arial,Italic"&amp;5Created by
Yaskawa Electric America
Technical Training Services</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4"/>
  <dimension ref="A1:E25"/>
  <sheetViews>
    <sheetView workbookViewId="0" topLeftCell="A1">
      <selection activeCell="C10" sqref="C10"/>
    </sheetView>
  </sheetViews>
  <sheetFormatPr defaultColWidth="9.140625" defaultRowHeight="12.75"/>
  <cols>
    <col min="1" max="1" width="40.7109375" style="0" customWidth="1"/>
    <col min="2" max="2" width="20.7109375" style="0" hidden="1" customWidth="1"/>
    <col min="3" max="3" width="20.7109375" style="0" customWidth="1"/>
    <col min="4" max="4" width="20.7109375" style="0" hidden="1" customWidth="1"/>
    <col min="5" max="5" width="9.00390625" style="0" customWidth="1"/>
    <col min="9" max="11" width="10.7109375" style="0" customWidth="1"/>
  </cols>
  <sheetData>
    <row r="1" spans="1:5" ht="26.25">
      <c r="A1" s="226" t="s">
        <v>5</v>
      </c>
      <c r="B1" s="227"/>
      <c r="C1" s="227"/>
      <c r="D1" s="227"/>
      <c r="E1" s="227"/>
    </row>
    <row r="2" spans="1:5" ht="18">
      <c r="A2" s="2" t="s">
        <v>7</v>
      </c>
      <c r="B2" s="3"/>
      <c r="C2" s="3"/>
      <c r="D2" s="3"/>
      <c r="E2" s="3"/>
    </row>
    <row r="3" spans="1:5" ht="12.75">
      <c r="A3" s="3" t="s">
        <v>0</v>
      </c>
      <c r="B3" s="3"/>
      <c r="C3" s="3"/>
      <c r="D3" s="3"/>
      <c r="E3" s="3"/>
    </row>
    <row r="4" spans="1:5" ht="12.75">
      <c r="A4" s="3"/>
      <c r="B4" s="3"/>
      <c r="C4" s="3"/>
      <c r="D4" s="3"/>
      <c r="E4" s="3"/>
    </row>
    <row r="5" spans="1:5" ht="12.75">
      <c r="A5" s="3"/>
      <c r="B5" s="3"/>
      <c r="C5" s="3"/>
      <c r="D5" s="3"/>
      <c r="E5" s="3"/>
    </row>
    <row r="6" spans="1:5" ht="12.75">
      <c r="A6" s="3"/>
      <c r="B6" s="3"/>
      <c r="C6" s="3"/>
      <c r="D6" s="3"/>
      <c r="E6" s="3"/>
    </row>
    <row r="7" spans="1:5" ht="12.75">
      <c r="A7" s="3"/>
      <c r="B7" s="3"/>
      <c r="C7" s="3"/>
      <c r="D7" s="3"/>
      <c r="E7" s="3"/>
    </row>
    <row r="8" spans="1:5" ht="12.75">
      <c r="A8" s="3"/>
      <c r="B8" s="3"/>
      <c r="C8" s="3"/>
      <c r="D8" s="3"/>
      <c r="E8" s="3"/>
    </row>
    <row r="9" spans="1:5" ht="13.5" thickBot="1">
      <c r="A9" s="3"/>
      <c r="B9" s="3"/>
      <c r="C9" s="3"/>
      <c r="D9" s="3"/>
      <c r="E9" s="3"/>
    </row>
    <row r="10" spans="1:5" ht="12.75">
      <c r="A10" s="18" t="s">
        <v>1</v>
      </c>
      <c r="B10" s="7">
        <v>200</v>
      </c>
      <c r="C10" s="7">
        <v>200</v>
      </c>
      <c r="D10" s="19">
        <f>D13*D11/D12</f>
        <v>0</v>
      </c>
      <c r="E10" s="3"/>
    </row>
    <row r="11" spans="1:5" ht="12.75">
      <c r="A11" s="12" t="s">
        <v>2</v>
      </c>
      <c r="B11" s="9">
        <v>10</v>
      </c>
      <c r="C11" s="10">
        <f>C12*C10/C13</f>
        <v>0</v>
      </c>
      <c r="D11" s="9">
        <v>0</v>
      </c>
      <c r="E11" s="3"/>
    </row>
    <row r="12" spans="1:5" ht="12.75">
      <c r="A12" s="12" t="s">
        <v>4</v>
      </c>
      <c r="B12" s="10">
        <f>INT(B13*B11/B10)</f>
        <v>250</v>
      </c>
      <c r="C12" s="9">
        <v>0</v>
      </c>
      <c r="D12" s="9">
        <v>1</v>
      </c>
      <c r="E12" s="3"/>
    </row>
    <row r="13" spans="1:5" ht="17.25" customHeight="1">
      <c r="A13" s="13" t="s">
        <v>3</v>
      </c>
      <c r="B13" s="43">
        <f>INDEX(Motors!B3:G30,MATCH(Motors!A3,Motors!B3:B30),5)</f>
        <v>5000</v>
      </c>
      <c r="C13" s="44">
        <f>B13</f>
        <v>5000</v>
      </c>
      <c r="D13" s="44">
        <f>B13</f>
        <v>5000</v>
      </c>
      <c r="E13" s="3"/>
    </row>
    <row r="14" spans="1:5" ht="12.75">
      <c r="A14" s="225" t="str">
        <f>IF(OR(B10&lt;0,C10&lt;0,D10&lt;0,B11&lt;0,D11&lt;0,B12&lt;0,C12&lt;0,D12&lt;0),"Enter only positive values between 0 and 10,000",IF(OR(MOD(C12,1)&lt;&gt;0,MOD(D12,1)&lt;&gt;0),"Pn305 and Pn306 can only be integer values.  Verify setting and enter again.",IF(OR(B10&gt;B13,C10&gt;C13,D10&gt;D13),"Motor cannot run above max speed.",IF(OR(B12&gt;10000,C12&gt;10000,D12&gt;10000),"Parameter out of range.  Lower desired accel/decel time or raise change in speed","Message Area"))))</f>
        <v>Message Area</v>
      </c>
      <c r="B14" s="3"/>
      <c r="C14" s="3"/>
      <c r="D14" s="3"/>
      <c r="E14" s="3"/>
    </row>
    <row r="15" spans="1:5" ht="12.75">
      <c r="A15" s="197"/>
      <c r="B15" s="3"/>
      <c r="C15" s="3"/>
      <c r="D15" s="3"/>
      <c r="E15" s="3"/>
    </row>
    <row r="16" spans="1:5" ht="12.75">
      <c r="A16" s="197"/>
      <c r="B16" s="3"/>
      <c r="C16" s="3"/>
      <c r="D16" s="3"/>
      <c r="E16" s="3"/>
    </row>
    <row r="17" spans="1:5" ht="12.75">
      <c r="A17" s="3"/>
      <c r="B17" s="3"/>
      <c r="C17" s="3"/>
      <c r="D17" s="3"/>
      <c r="E17" s="3"/>
    </row>
    <row r="18" spans="1:5" ht="12.75">
      <c r="A18" s="3"/>
      <c r="B18" s="3"/>
      <c r="C18" s="3"/>
      <c r="D18" s="3"/>
      <c r="E18" s="3"/>
    </row>
    <row r="19" spans="1:5" ht="12.75">
      <c r="A19" s="3"/>
      <c r="B19" s="3"/>
      <c r="C19" s="3"/>
      <c r="D19" s="3"/>
      <c r="E19" s="3"/>
    </row>
    <row r="20" spans="1:5" ht="12.75">
      <c r="A20" s="3"/>
      <c r="B20" s="3"/>
      <c r="C20" s="3"/>
      <c r="D20" s="3"/>
      <c r="E20" s="3"/>
    </row>
    <row r="21" spans="1:5" ht="12.75">
      <c r="A21" s="3"/>
      <c r="B21" s="3"/>
      <c r="C21" s="3"/>
      <c r="D21" s="3"/>
      <c r="E21" s="3"/>
    </row>
    <row r="22" spans="1:5" ht="12.75">
      <c r="A22" s="3"/>
      <c r="B22" s="3"/>
      <c r="C22" s="3"/>
      <c r="D22" s="3"/>
      <c r="E22" s="3"/>
    </row>
    <row r="23" spans="1:5" ht="12.75">
      <c r="A23" s="3"/>
      <c r="B23" s="3"/>
      <c r="C23" s="3"/>
      <c r="D23" s="3"/>
      <c r="E23" s="3"/>
    </row>
    <row r="24" spans="1:5" ht="12.75">
      <c r="A24" s="3"/>
      <c r="B24" s="3"/>
      <c r="C24" s="3"/>
      <c r="D24" s="3"/>
      <c r="E24" s="3"/>
    </row>
    <row r="25" spans="1:5" ht="12.75">
      <c r="A25" s="3"/>
      <c r="B25" s="3"/>
      <c r="C25" s="3"/>
      <c r="D25" s="3"/>
      <c r="E25" s="3"/>
    </row>
  </sheetData>
  <sheetProtection sheet="1" objects="1" scenarios="1"/>
  <mergeCells count="2">
    <mergeCell ref="A14:A16"/>
    <mergeCell ref="A1:E1"/>
  </mergeCells>
  <conditionalFormatting sqref="A14">
    <cfRule type="cellIs" priority="1" dxfId="1" operator="notEqual" stopIfTrue="1">
      <formula>"ok"</formula>
    </cfRule>
  </conditionalFormatting>
  <conditionalFormatting sqref="B10:C10">
    <cfRule type="cellIs" priority="2" dxfId="0" operator="notBetween" stopIfTrue="1">
      <formula>0</formula>
      <formula>$B$13</formula>
    </cfRule>
  </conditionalFormatting>
  <conditionalFormatting sqref="B12">
    <cfRule type="cellIs" priority="3" dxfId="0" operator="notBetween" stopIfTrue="1">
      <formula>0</formula>
      <formula>10000</formula>
    </cfRule>
  </conditionalFormatting>
  <conditionalFormatting sqref="C12">
    <cfRule type="cellIs" priority="4" dxfId="0" operator="notBetween" stopIfTrue="1">
      <formula>0</formula>
      <formula>10000</formula>
    </cfRule>
    <cfRule type="expression" priority="5" dxfId="0" stopIfTrue="1">
      <formula>MOD($C$12,1)&lt;&gt;0</formula>
    </cfRule>
  </conditionalFormatting>
  <conditionalFormatting sqref="B11:D11">
    <cfRule type="cellIs" priority="6" dxfId="0" operator="lessThan" stopIfTrue="1">
      <formula>0</formula>
    </cfRule>
  </conditionalFormatting>
  <conditionalFormatting sqref="D10">
    <cfRule type="cellIs" priority="7" dxfId="0" operator="lessThan" stopIfTrue="1">
      <formula>0</formula>
    </cfRule>
    <cfRule type="cellIs" priority="8" dxfId="0" operator="greaterThan" stopIfTrue="1">
      <formula>$D$13</formula>
    </cfRule>
  </conditionalFormatting>
  <conditionalFormatting sqref="D12">
    <cfRule type="cellIs" priority="9" dxfId="0" operator="greaterThanOrEqual" stopIfTrue="1">
      <formula>10000</formula>
    </cfRule>
    <cfRule type="expression" priority="10" dxfId="0" stopIfTrue="1">
      <formula>MOD($D$12,1)&lt;&gt;0</formula>
    </cfRule>
  </conditionalFormatting>
  <printOptions/>
  <pageMargins left="0.75" right="0.75" top="1" bottom="1" header="0.5" footer="0.5"/>
  <pageSetup horizontalDpi="600" verticalDpi="600" orientation="portrait" scale="150" r:id="rId4"/>
  <headerFooter alignWithMargins="0">
    <oddFooter>&amp;L&amp;"Arial,Italic"&amp;5Yaskawa Electric America
2121 Norman Dr. South
Waukegan, IL  60085&amp;C&amp;8&amp;F
(c) Yaskawa Electric America&amp;R&amp;"Arial,Italic"&amp;5Created by
Yaskawa Electric America
Technical Training Services</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N45"/>
  <sheetViews>
    <sheetView workbookViewId="0" topLeftCell="A1">
      <selection activeCell="B4" sqref="B4"/>
    </sheetView>
  </sheetViews>
  <sheetFormatPr defaultColWidth="9.140625" defaultRowHeight="12.75"/>
  <cols>
    <col min="1" max="1" width="21.7109375" style="0" customWidth="1"/>
    <col min="2" max="2" width="13.7109375" style="0" customWidth="1"/>
    <col min="3" max="3" width="15.421875" style="0" customWidth="1"/>
    <col min="4" max="4" width="13.28125" style="0" customWidth="1"/>
    <col min="5" max="5" width="11.8515625" style="0" bestFit="1" customWidth="1"/>
    <col min="7" max="8" width="9.7109375" style="0" customWidth="1"/>
    <col min="9" max="14" width="9.7109375" style="0" hidden="1" customWidth="1"/>
    <col min="15" max="15" width="9.7109375" style="0" customWidth="1"/>
  </cols>
  <sheetData>
    <row r="1" spans="1:8" ht="26.25">
      <c r="A1" s="234" t="s">
        <v>5</v>
      </c>
      <c r="B1" s="234"/>
      <c r="C1" s="234"/>
      <c r="D1" s="234"/>
      <c r="E1" s="234"/>
      <c r="F1" s="113"/>
      <c r="G1" s="114"/>
      <c r="H1" s="114"/>
    </row>
    <row r="2" spans="1:8" ht="18">
      <c r="A2" s="2" t="s">
        <v>127</v>
      </c>
      <c r="B2" s="3"/>
      <c r="C2" s="3"/>
      <c r="D2" s="3"/>
      <c r="E2" s="3"/>
      <c r="F2" s="3"/>
      <c r="G2" s="6"/>
      <c r="H2" s="6"/>
    </row>
    <row r="3" spans="1:8" s="83" customFormat="1" ht="16.5" thickBot="1">
      <c r="A3" s="198" t="s">
        <v>114</v>
      </c>
      <c r="B3" s="233"/>
      <c r="C3" s="233"/>
      <c r="D3" s="233"/>
      <c r="E3" s="233"/>
      <c r="F3" s="82"/>
      <c r="G3" s="115"/>
      <c r="H3" s="115"/>
    </row>
    <row r="4" spans="1:8" s="84" customFormat="1" ht="16.5" customHeight="1">
      <c r="A4" s="106" t="s">
        <v>116</v>
      </c>
      <c r="B4" s="112">
        <v>4</v>
      </c>
      <c r="C4" s="86"/>
      <c r="D4" s="85"/>
      <c r="E4" s="85"/>
      <c r="F4" s="85"/>
      <c r="G4" s="116"/>
      <c r="H4" s="116"/>
    </row>
    <row r="5" spans="1:8" ht="16.5" customHeight="1">
      <c r="A5" s="91" t="s">
        <v>97</v>
      </c>
      <c r="B5" s="102"/>
      <c r="C5" s="3"/>
      <c r="D5" s="3"/>
      <c r="E5" s="3"/>
      <c r="F5" s="3"/>
      <c r="G5" s="6"/>
      <c r="H5" s="6"/>
    </row>
    <row r="6" spans="1:8" ht="16.5" customHeight="1">
      <c r="A6" s="91" t="s">
        <v>119</v>
      </c>
      <c r="B6" s="102"/>
      <c r="C6" s="3"/>
      <c r="D6" s="3"/>
      <c r="E6" s="3"/>
      <c r="F6" s="3"/>
      <c r="G6" s="6"/>
      <c r="H6" s="6"/>
    </row>
    <row r="7" spans="1:8" ht="16.5" customHeight="1">
      <c r="A7" s="91" t="s">
        <v>117</v>
      </c>
      <c r="B7" s="111">
        <v>0</v>
      </c>
      <c r="C7" s="3"/>
      <c r="D7" s="3"/>
      <c r="E7" s="3"/>
      <c r="F7" s="3"/>
      <c r="G7" s="6"/>
      <c r="H7" s="6"/>
    </row>
    <row r="8" spans="1:8" ht="16.5" customHeight="1">
      <c r="A8" s="91" t="s">
        <v>98</v>
      </c>
      <c r="B8" s="96">
        <f>IF(AND(B7&gt;I28*100,I28=1),10000,IF(AND(B7&gt;I28*100,I28=2),20000,B7*100))</f>
        <v>0</v>
      </c>
      <c r="C8" s="3"/>
      <c r="D8" s="3"/>
      <c r="E8" s="3"/>
      <c r="F8" s="3"/>
      <c r="G8" s="6"/>
      <c r="H8" s="6"/>
    </row>
    <row r="9" spans="1:8" ht="16.5" customHeight="1" thickBot="1">
      <c r="A9" s="107" t="s">
        <v>122</v>
      </c>
      <c r="B9" s="108">
        <f>IF(B7&gt;100*I28,B7/(B8/100),1)</f>
        <v>1</v>
      </c>
      <c r="C9" s="3"/>
      <c r="D9" s="3"/>
      <c r="E9" s="3"/>
      <c r="F9" s="3"/>
      <c r="G9" s="6"/>
      <c r="H9" s="6"/>
    </row>
    <row r="10" spans="1:8" ht="12.75">
      <c r="A10" s="4"/>
      <c r="B10" s="3"/>
      <c r="C10" s="3"/>
      <c r="D10" s="3"/>
      <c r="E10" s="3"/>
      <c r="F10" s="3"/>
      <c r="G10" s="6"/>
      <c r="H10" s="6"/>
    </row>
    <row r="11" spans="1:8" ht="16.5" thickBot="1">
      <c r="A11" s="198" t="s">
        <v>118</v>
      </c>
      <c r="B11" s="233"/>
      <c r="C11" s="233"/>
      <c r="D11" s="233"/>
      <c r="E11" s="233"/>
      <c r="F11" s="3"/>
      <c r="G11" s="6"/>
      <c r="H11" s="6"/>
    </row>
    <row r="12" spans="1:8" ht="12.75">
      <c r="A12" s="88" t="s">
        <v>113</v>
      </c>
      <c r="B12" s="89" t="s">
        <v>99</v>
      </c>
      <c r="C12" s="89" t="s">
        <v>100</v>
      </c>
      <c r="D12" s="89" t="s">
        <v>101</v>
      </c>
      <c r="E12" s="90" t="s">
        <v>102</v>
      </c>
      <c r="F12" s="3"/>
      <c r="G12" s="6"/>
      <c r="H12" s="6"/>
    </row>
    <row r="13" spans="1:8" ht="12.75">
      <c r="A13" s="91" t="s">
        <v>123</v>
      </c>
      <c r="B13" s="92">
        <f>INDEX(Tuning!J36:N45,MATCH(Tuning!I36,Tuning!J36:J45),5)</f>
        <v>100</v>
      </c>
      <c r="C13" s="92">
        <f>INDEX(Tuning!J36:N45,MATCH(Tuning!I36,Tuning!J36:J45),3)</f>
        <v>40</v>
      </c>
      <c r="D13" s="92">
        <f>INDEX(Tuning!J36:N45,MATCH(Tuning!I36,Tuning!J36:J45),4)</f>
        <v>2000</v>
      </c>
      <c r="E13" s="93">
        <f>INDEX(Tuning!J36:N45,MATCH(Tuning!I36,Tuning!J36:J45),2)</f>
        <v>40</v>
      </c>
      <c r="F13" s="3"/>
      <c r="G13" s="6"/>
      <c r="H13" s="6"/>
    </row>
    <row r="14" spans="1:8" ht="12.75">
      <c r="A14" s="91" t="s">
        <v>103</v>
      </c>
      <c r="B14" s="94" t="s">
        <v>60</v>
      </c>
      <c r="C14" s="94">
        <f>ROUND(B16/B4*B9,0)</f>
        <v>40</v>
      </c>
      <c r="D14" s="95">
        <f>ROUND(36600/C16,0)</f>
        <v>915</v>
      </c>
      <c r="E14" s="96">
        <f>ROUND(C16/B4*6.28,0)</f>
        <v>63</v>
      </c>
      <c r="F14" s="3"/>
      <c r="G14" s="6"/>
      <c r="H14" s="6"/>
    </row>
    <row r="15" spans="1:8" ht="15.75" customHeight="1">
      <c r="A15" s="91" t="s">
        <v>124</v>
      </c>
      <c r="B15" s="109"/>
      <c r="C15" s="109"/>
      <c r="D15" s="110"/>
      <c r="E15" s="111"/>
      <c r="F15" s="3"/>
      <c r="G15" s="6"/>
      <c r="H15" s="6"/>
    </row>
    <row r="16" spans="1:8" ht="12.75" hidden="1">
      <c r="A16" s="91" t="s">
        <v>108</v>
      </c>
      <c r="B16" s="97">
        <f>IF(ISNUMBER(B15),IF(B15=0,16000,(ROUND(15900/B15,0))),(ROUND(15900/B13,0)))</f>
        <v>159</v>
      </c>
      <c r="C16" s="97">
        <f>IF(C15&lt;&gt;0,ROUND(C15/B9,2),ROUND(C13/B9,2))</f>
        <v>40</v>
      </c>
      <c r="D16" s="97" t="s">
        <v>60</v>
      </c>
      <c r="E16" s="98">
        <f>IF(E15&lt;&gt;0,INT(E15/6.28),INT(E13/6.28))</f>
        <v>6</v>
      </c>
      <c r="F16" s="3"/>
      <c r="G16" s="6"/>
      <c r="H16" s="6"/>
    </row>
    <row r="17" spans="1:8" ht="12.75">
      <c r="A17" s="91" t="s">
        <v>125</v>
      </c>
      <c r="B17" s="99" t="str">
        <f>CONCATENATE("Fc=",B16," Hz")</f>
        <v>Fc=159 Hz</v>
      </c>
      <c r="C17" s="99" t="str">
        <f>CONCATENATE("Fv= Kv=",ROUND(C16,2)," Hz")</f>
        <v>Fv= Kv=40 Hz</v>
      </c>
      <c r="D17" s="99" t="s">
        <v>60</v>
      </c>
      <c r="E17" s="100" t="str">
        <f>CONCATENATE("Fp= ",E16," Hz")</f>
        <v>Fp= 6 Hz</v>
      </c>
      <c r="F17" s="3"/>
      <c r="G17" s="6"/>
      <c r="H17" s="6"/>
    </row>
    <row r="18" spans="1:8" ht="12.75">
      <c r="A18" s="91" t="s">
        <v>115</v>
      </c>
      <c r="B18" s="101" t="s">
        <v>60</v>
      </c>
      <c r="C18" s="101">
        <f>ROUND(B16/C16,1)</f>
        <v>4</v>
      </c>
      <c r="D18" s="101" t="s">
        <v>60</v>
      </c>
      <c r="E18" s="102">
        <f>ROUND(C16/E16,1)</f>
        <v>6.7</v>
      </c>
      <c r="F18" s="3"/>
      <c r="G18" s="6"/>
      <c r="H18" s="6"/>
    </row>
    <row r="19" spans="1:8" ht="12.75">
      <c r="A19" s="91" t="s">
        <v>126</v>
      </c>
      <c r="B19" s="101" t="s">
        <v>60</v>
      </c>
      <c r="C19" s="101" t="str">
        <f>IF(C18&lt;B4*0.8,"BW Warning!","ok")</f>
        <v>ok</v>
      </c>
      <c r="D19" s="101" t="s">
        <v>60</v>
      </c>
      <c r="E19" s="102" t="str">
        <f>IF(E18&lt;B4*0.8,"BW Warning!","ok")</f>
        <v>ok</v>
      </c>
      <c r="F19" s="3"/>
      <c r="G19" s="6"/>
      <c r="H19" s="6"/>
    </row>
    <row r="20" spans="1:8" ht="13.5" thickBot="1">
      <c r="A20" s="103"/>
      <c r="B20" s="104"/>
      <c r="C20" s="104"/>
      <c r="D20" s="104"/>
      <c r="E20" s="105"/>
      <c r="F20" s="3"/>
      <c r="G20" s="6"/>
      <c r="H20" s="6"/>
    </row>
    <row r="21" spans="1:8" ht="12.75">
      <c r="A21" s="3"/>
      <c r="B21" s="3"/>
      <c r="C21" s="3"/>
      <c r="D21" s="3"/>
      <c r="E21" s="3"/>
      <c r="F21" s="3"/>
      <c r="G21" s="6"/>
      <c r="H21" s="6"/>
    </row>
    <row r="22" spans="1:8" ht="12.75">
      <c r="A22" s="3"/>
      <c r="B22" s="3"/>
      <c r="C22" s="3"/>
      <c r="D22" s="3"/>
      <c r="E22" s="3"/>
      <c r="F22" s="3"/>
      <c r="G22" s="6"/>
      <c r="H22" s="6"/>
    </row>
    <row r="23" spans="1:8" ht="12.75">
      <c r="A23" s="3"/>
      <c r="B23" s="3"/>
      <c r="C23" s="3"/>
      <c r="D23" s="3"/>
      <c r="E23" s="3"/>
      <c r="F23" s="3"/>
      <c r="G23" s="6"/>
      <c r="H23" s="6"/>
    </row>
    <row r="24" spans="1:8" ht="12.75">
      <c r="A24" s="3"/>
      <c r="B24" s="3"/>
      <c r="C24" s="3"/>
      <c r="D24" s="3"/>
      <c r="E24" s="3"/>
      <c r="F24" s="3"/>
      <c r="G24" s="6"/>
      <c r="H24" s="6"/>
    </row>
    <row r="25" spans="1:8" ht="12.75">
      <c r="A25" s="3"/>
      <c r="B25" s="3"/>
      <c r="C25" s="3"/>
      <c r="D25" s="3"/>
      <c r="E25" s="3"/>
      <c r="F25" s="3"/>
      <c r="G25" s="6"/>
      <c r="H25" s="6"/>
    </row>
    <row r="26" spans="1:10" ht="12.75">
      <c r="A26" s="3"/>
      <c r="B26" s="3"/>
      <c r="C26" s="3"/>
      <c r="D26" s="3"/>
      <c r="E26" s="3"/>
      <c r="F26" s="3"/>
      <c r="G26" s="6"/>
      <c r="H26" s="6"/>
      <c r="J26" t="s">
        <v>109</v>
      </c>
    </row>
    <row r="27" spans="1:11" ht="12.75">
      <c r="A27" s="3"/>
      <c r="B27" s="3"/>
      <c r="C27" s="3"/>
      <c r="D27" s="3"/>
      <c r="E27" s="3"/>
      <c r="F27" s="3"/>
      <c r="G27" s="6"/>
      <c r="H27" s="6"/>
      <c r="I27" t="s">
        <v>112</v>
      </c>
      <c r="J27" t="s">
        <v>120</v>
      </c>
      <c r="K27" t="s">
        <v>121</v>
      </c>
    </row>
    <row r="28" spans="1:11" ht="12.75">
      <c r="A28" s="3"/>
      <c r="B28" s="3"/>
      <c r="C28" s="3"/>
      <c r="D28" s="3"/>
      <c r="E28" s="3"/>
      <c r="F28" s="3"/>
      <c r="G28" s="6"/>
      <c r="H28" s="6"/>
      <c r="I28" s="24">
        <v>2</v>
      </c>
      <c r="J28">
        <v>1</v>
      </c>
      <c r="K28" t="s">
        <v>110</v>
      </c>
    </row>
    <row r="29" spans="1:11" ht="12.75">
      <c r="A29" s="3"/>
      <c r="B29" s="3"/>
      <c r="C29" s="3"/>
      <c r="D29" s="3"/>
      <c r="E29" s="3"/>
      <c r="F29" s="3"/>
      <c r="G29" s="6"/>
      <c r="H29" s="6"/>
      <c r="J29">
        <v>2</v>
      </c>
      <c r="K29" t="s">
        <v>111</v>
      </c>
    </row>
    <row r="30" spans="1:8" ht="12.75">
      <c r="A30" s="3"/>
      <c r="B30" s="3"/>
      <c r="C30" s="3"/>
      <c r="D30" s="3"/>
      <c r="E30" s="3"/>
      <c r="F30" s="3"/>
      <c r="G30" s="6"/>
      <c r="H30" s="6"/>
    </row>
    <row r="31" spans="1:8" ht="12.75">
      <c r="A31" s="3"/>
      <c r="B31" s="3"/>
      <c r="C31" s="3"/>
      <c r="D31" s="3"/>
      <c r="E31" s="3"/>
      <c r="F31" s="3"/>
      <c r="G31" s="6"/>
      <c r="H31" s="6"/>
    </row>
    <row r="32" spans="1:8" ht="12.75">
      <c r="A32" s="3"/>
      <c r="B32" s="3"/>
      <c r="C32" s="3"/>
      <c r="D32" s="3"/>
      <c r="E32" s="3"/>
      <c r="F32" s="3"/>
      <c r="G32" s="6"/>
      <c r="H32" s="6"/>
    </row>
    <row r="33" spans="1:8" ht="12.75">
      <c r="A33" s="3"/>
      <c r="B33" s="3"/>
      <c r="C33" s="3"/>
      <c r="D33" s="3"/>
      <c r="E33" s="3"/>
      <c r="F33" s="3"/>
      <c r="G33" s="6"/>
      <c r="H33" s="6"/>
    </row>
    <row r="34" spans="1:10" ht="12.75">
      <c r="A34" s="3"/>
      <c r="B34" s="3"/>
      <c r="C34" s="3"/>
      <c r="D34" s="3"/>
      <c r="E34" s="3"/>
      <c r="F34" s="3"/>
      <c r="J34" t="s">
        <v>106</v>
      </c>
    </row>
    <row r="35" spans="1:14" ht="12.75">
      <c r="A35" s="3"/>
      <c r="B35" s="3"/>
      <c r="C35" s="3"/>
      <c r="D35" s="3"/>
      <c r="E35" s="3"/>
      <c r="F35" s="3"/>
      <c r="I35" t="s">
        <v>112</v>
      </c>
      <c r="J35" t="s">
        <v>107</v>
      </c>
      <c r="K35" t="s">
        <v>102</v>
      </c>
      <c r="L35" t="s">
        <v>100</v>
      </c>
      <c r="M35" t="s">
        <v>101</v>
      </c>
      <c r="N35" t="s">
        <v>99</v>
      </c>
    </row>
    <row r="36" spans="1:14" ht="12.75">
      <c r="A36" s="3"/>
      <c r="B36" s="3"/>
      <c r="C36" s="3"/>
      <c r="D36" s="3"/>
      <c r="E36" s="3"/>
      <c r="F36" s="3"/>
      <c r="I36" s="117">
        <v>4</v>
      </c>
      <c r="J36">
        <v>1</v>
      </c>
      <c r="K36">
        <v>15</v>
      </c>
      <c r="L36">
        <v>15</v>
      </c>
      <c r="M36">
        <v>6000</v>
      </c>
      <c r="N36">
        <v>250</v>
      </c>
    </row>
    <row r="37" spans="1:14" ht="12.75">
      <c r="A37" s="3"/>
      <c r="B37" s="3"/>
      <c r="C37" s="3"/>
      <c r="D37" s="3"/>
      <c r="E37" s="3"/>
      <c r="F37" s="3"/>
      <c r="J37">
        <v>2</v>
      </c>
      <c r="K37">
        <v>20</v>
      </c>
      <c r="L37">
        <v>20</v>
      </c>
      <c r="M37">
        <v>4500</v>
      </c>
      <c r="N37">
        <v>200</v>
      </c>
    </row>
    <row r="38" spans="10:14" ht="12.75">
      <c r="J38">
        <v>3</v>
      </c>
      <c r="K38">
        <v>30</v>
      </c>
      <c r="L38">
        <v>30</v>
      </c>
      <c r="M38">
        <v>3000</v>
      </c>
      <c r="N38">
        <v>130</v>
      </c>
    </row>
    <row r="39" spans="10:14" ht="12.75">
      <c r="J39">
        <v>4</v>
      </c>
      <c r="K39">
        <v>40</v>
      </c>
      <c r="L39">
        <v>40</v>
      </c>
      <c r="M39">
        <v>2000</v>
      </c>
      <c r="N39">
        <v>100</v>
      </c>
    </row>
    <row r="40" spans="10:14" ht="12.75">
      <c r="J40">
        <v>5</v>
      </c>
      <c r="K40">
        <v>60</v>
      </c>
      <c r="L40">
        <v>60</v>
      </c>
      <c r="M40">
        <v>1500</v>
      </c>
      <c r="N40">
        <v>70</v>
      </c>
    </row>
    <row r="41" spans="10:14" ht="12.75">
      <c r="J41">
        <v>6</v>
      </c>
      <c r="K41">
        <v>85</v>
      </c>
      <c r="L41">
        <v>85</v>
      </c>
      <c r="M41">
        <v>1000</v>
      </c>
      <c r="N41">
        <v>50</v>
      </c>
    </row>
    <row r="42" spans="10:14" ht="12.75">
      <c r="J42">
        <v>7</v>
      </c>
      <c r="K42">
        <v>120</v>
      </c>
      <c r="L42">
        <v>120</v>
      </c>
      <c r="M42">
        <v>800</v>
      </c>
      <c r="N42">
        <v>30</v>
      </c>
    </row>
    <row r="43" spans="10:14" ht="12.75">
      <c r="J43">
        <v>8</v>
      </c>
      <c r="K43">
        <v>160</v>
      </c>
      <c r="L43">
        <v>160</v>
      </c>
      <c r="M43">
        <v>600</v>
      </c>
      <c r="N43">
        <v>20</v>
      </c>
    </row>
    <row r="44" spans="10:14" ht="12.75">
      <c r="J44">
        <v>9</v>
      </c>
      <c r="K44">
        <v>200</v>
      </c>
      <c r="L44">
        <v>200</v>
      </c>
      <c r="M44">
        <v>500</v>
      </c>
      <c r="N44">
        <v>15</v>
      </c>
    </row>
    <row r="45" spans="10:14" ht="12.75">
      <c r="J45">
        <v>10</v>
      </c>
      <c r="K45">
        <v>250</v>
      </c>
      <c r="L45">
        <v>250</v>
      </c>
      <c r="M45">
        <v>400</v>
      </c>
      <c r="N45">
        <v>10</v>
      </c>
    </row>
  </sheetData>
  <sheetProtection sheet="1" objects="1" scenarios="1"/>
  <mergeCells count="3">
    <mergeCell ref="A11:E11"/>
    <mergeCell ref="A3:E3"/>
    <mergeCell ref="A1:E1"/>
  </mergeCells>
  <conditionalFormatting sqref="C15:C18">
    <cfRule type="expression" priority="1" dxfId="2" stopIfTrue="1">
      <formula>"$C$18&lt;$B$4*0.8"</formula>
    </cfRule>
  </conditionalFormatting>
  <printOptions/>
  <pageMargins left="0.75" right="0.75" top="1" bottom="1" header="0.5" footer="0.5"/>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I22"/>
  <sheetViews>
    <sheetView workbookViewId="0" topLeftCell="A1">
      <selection activeCell="E6" sqref="E6"/>
    </sheetView>
  </sheetViews>
  <sheetFormatPr defaultColWidth="9.140625" defaultRowHeight="12.75"/>
  <cols>
    <col min="1" max="1" width="2.140625" style="0" customWidth="1"/>
    <col min="2" max="2" width="4.28125" style="0" customWidth="1"/>
    <col min="3" max="3" width="15.140625" style="0" customWidth="1"/>
    <col min="4" max="4" width="12.421875" style="0" bestFit="1" customWidth="1"/>
    <col min="6" max="6" width="3.7109375" style="0" customWidth="1"/>
    <col min="7" max="7" width="26.421875" style="0" customWidth="1"/>
    <col min="8" max="8" width="3.8515625" style="0" customWidth="1"/>
    <col min="9" max="9" width="1.7109375" style="6" customWidth="1"/>
  </cols>
  <sheetData>
    <row r="1" spans="1:9" ht="26.25">
      <c r="A1" s="234" t="s">
        <v>5</v>
      </c>
      <c r="B1" s="234"/>
      <c r="C1" s="234"/>
      <c r="D1" s="234"/>
      <c r="E1" s="234"/>
      <c r="F1" s="235"/>
      <c r="G1" s="235"/>
      <c r="H1" s="235"/>
      <c r="I1" s="235"/>
    </row>
    <row r="2" spans="1:9" ht="18">
      <c r="A2" s="2"/>
      <c r="B2" s="2" t="s">
        <v>39</v>
      </c>
      <c r="C2" s="3"/>
      <c r="D2" s="3"/>
      <c r="E2" s="3"/>
      <c r="F2" s="3"/>
      <c r="G2" s="3"/>
      <c r="H2" s="3"/>
      <c r="I2" s="3"/>
    </row>
    <row r="3" spans="1:9" ht="18.75" customHeight="1">
      <c r="A3" s="3"/>
      <c r="B3" s="237" t="str">
        <f ca="1">CELL("filename",A3)</f>
        <v>G:\TRAINING\Classes-Official\Servo\Sigma II\[Sigma II Parameter Calculator (Rev 2.22).xls]Inertia</v>
      </c>
      <c r="C3" s="237"/>
      <c r="D3" s="237"/>
      <c r="E3" s="237"/>
      <c r="F3" s="237"/>
      <c r="G3" s="237"/>
      <c r="H3" s="237"/>
      <c r="I3" s="3"/>
    </row>
    <row r="4" spans="1:9" ht="16.5" thickBot="1">
      <c r="A4" s="3"/>
      <c r="B4" s="51"/>
      <c r="C4" s="236" t="s">
        <v>40</v>
      </c>
      <c r="D4" s="236"/>
      <c r="E4" s="236"/>
      <c r="F4" s="51"/>
      <c r="G4" s="50" t="s">
        <v>41</v>
      </c>
      <c r="H4" s="51"/>
      <c r="I4" s="3"/>
    </row>
    <row r="5" spans="1:9" ht="12.75">
      <c r="A5" s="3"/>
      <c r="B5" s="51"/>
      <c r="C5" s="52" t="s">
        <v>42</v>
      </c>
      <c r="D5" s="53" t="s">
        <v>43</v>
      </c>
      <c r="E5" s="54" t="s">
        <v>44</v>
      </c>
      <c r="F5" s="51"/>
      <c r="G5" s="131" t="s">
        <v>45</v>
      </c>
      <c r="H5" s="51"/>
      <c r="I5" s="3"/>
    </row>
    <row r="6" spans="1:9" ht="12.75">
      <c r="A6" s="3"/>
      <c r="B6" s="51"/>
      <c r="C6" s="8" t="s">
        <v>46</v>
      </c>
      <c r="D6" s="51">
        <f>E6*G11/100</f>
        <v>0.0636</v>
      </c>
      <c r="E6" s="9">
        <v>20</v>
      </c>
      <c r="F6" s="51"/>
      <c r="G6" s="123">
        <v>3</v>
      </c>
      <c r="H6" s="51"/>
      <c r="I6" s="3"/>
    </row>
    <row r="7" spans="1:9" ht="12.75">
      <c r="A7" s="3"/>
      <c r="B7" s="51"/>
      <c r="C7" s="8" t="s">
        <v>47</v>
      </c>
      <c r="D7" s="51">
        <f>E7*G11/100</f>
        <v>0.0159</v>
      </c>
      <c r="E7" s="9">
        <v>5</v>
      </c>
      <c r="F7" s="51"/>
      <c r="G7" s="124"/>
      <c r="H7" s="51"/>
      <c r="I7" s="3"/>
    </row>
    <row r="8" spans="1:9" ht="13.5" thickBot="1">
      <c r="A8" s="3"/>
      <c r="B8" s="51"/>
      <c r="C8" s="56" t="s">
        <v>48</v>
      </c>
      <c r="D8" s="57">
        <f>D6-D7</f>
        <v>0.047700000000000006</v>
      </c>
      <c r="E8" s="58">
        <f>D8/G11*100</f>
        <v>15.000000000000002</v>
      </c>
      <c r="F8" s="51"/>
      <c r="G8" s="125" t="b">
        <v>0</v>
      </c>
      <c r="H8" s="51"/>
      <c r="I8" s="3"/>
    </row>
    <row r="9" spans="1:9" ht="13.5" thickBot="1">
      <c r="A9" s="3"/>
      <c r="B9" s="51"/>
      <c r="C9" s="59"/>
      <c r="D9" s="59"/>
      <c r="E9" s="59"/>
      <c r="F9" s="51"/>
      <c r="G9" s="126"/>
      <c r="H9" s="51"/>
      <c r="I9" s="3"/>
    </row>
    <row r="10" spans="1:9" ht="13.5" thickBot="1">
      <c r="A10" s="3"/>
      <c r="B10" s="51"/>
      <c r="C10" s="60" t="s">
        <v>49</v>
      </c>
      <c r="D10" s="61"/>
      <c r="E10" s="62"/>
      <c r="F10" s="51"/>
      <c r="G10" s="55" t="s">
        <v>50</v>
      </c>
      <c r="H10" s="51"/>
      <c r="I10" s="3"/>
    </row>
    <row r="11" spans="1:9" ht="13.5" thickBot="1">
      <c r="A11" s="3"/>
      <c r="B11" s="51"/>
      <c r="C11" s="16" t="s">
        <v>51</v>
      </c>
      <c r="D11" s="238">
        <v>43</v>
      </c>
      <c r="E11" s="239"/>
      <c r="F11" s="51"/>
      <c r="G11" s="63">
        <f>INDEX(Motors!$J$3:$N$54,MATCH(Motors!$I$3,Motors!$J$3:$J$54,0),3)</f>
        <v>0.318</v>
      </c>
      <c r="H11" s="51"/>
      <c r="I11" s="3"/>
    </row>
    <row r="12" spans="1:9" ht="13.5" thickBot="1">
      <c r="A12" s="3"/>
      <c r="B12" s="51"/>
      <c r="C12" s="8" t="s">
        <v>52</v>
      </c>
      <c r="D12" s="240">
        <v>2500</v>
      </c>
      <c r="E12" s="241"/>
      <c r="F12" s="51"/>
      <c r="G12" s="126"/>
      <c r="H12" s="51"/>
      <c r="I12" s="3"/>
    </row>
    <row r="13" spans="1:9" ht="13.5" thickBot="1">
      <c r="A13" s="3"/>
      <c r="B13" s="51"/>
      <c r="C13" s="56" t="s">
        <v>53</v>
      </c>
      <c r="D13" s="242">
        <f>D12*2*PI()/60/(D11/1000)</f>
        <v>6088.357855794174</v>
      </c>
      <c r="E13" s="243"/>
      <c r="F13" s="51"/>
      <c r="G13" s="55" t="s">
        <v>54</v>
      </c>
      <c r="H13" s="51"/>
      <c r="I13" s="3"/>
    </row>
    <row r="14" spans="1:9" ht="13.5" thickBot="1">
      <c r="A14" s="3"/>
      <c r="B14" s="51"/>
      <c r="C14" s="64"/>
      <c r="D14" s="65"/>
      <c r="E14" s="66"/>
      <c r="F14" s="51"/>
      <c r="G14" s="67">
        <f>INDEX(Motors!$J$3:$N$54,MATCH(Motors!$I$3,Motors!$J$3:$J$54,0),IF(G8=TRUE,5,4))</f>
        <v>3.64E-06</v>
      </c>
      <c r="H14" s="51"/>
      <c r="I14" s="3"/>
    </row>
    <row r="15" spans="1:9" ht="12.75">
      <c r="A15" s="3"/>
      <c r="B15" s="51"/>
      <c r="C15" s="51"/>
      <c r="D15" s="51"/>
      <c r="E15" s="51"/>
      <c r="F15" s="51"/>
      <c r="G15" s="51"/>
      <c r="H15" s="51"/>
      <c r="I15" s="3"/>
    </row>
    <row r="16" spans="1:9" ht="16.5" thickBot="1">
      <c r="A16" s="3"/>
      <c r="B16" s="51"/>
      <c r="C16" s="236" t="s">
        <v>55</v>
      </c>
      <c r="D16" s="236"/>
      <c r="E16" s="236"/>
      <c r="F16" s="236"/>
      <c r="G16" s="50" t="s">
        <v>56</v>
      </c>
      <c r="H16" s="51"/>
      <c r="I16" s="3"/>
    </row>
    <row r="17" spans="1:9" ht="15.75" customHeight="1">
      <c r="A17" s="3"/>
      <c r="B17" s="51"/>
      <c r="C17" s="68" t="s">
        <v>57</v>
      </c>
      <c r="D17" s="69">
        <f>D8/D13-G14</f>
        <v>4.194624890618876E-06</v>
      </c>
      <c r="E17" s="251">
        <f>IF(D17&lt;0,"!Check Data!","")</f>
      </c>
      <c r="F17" s="252"/>
      <c r="G17" s="246"/>
      <c r="H17" s="51"/>
      <c r="I17" s="3"/>
    </row>
    <row r="18" spans="1:9" ht="16.5" thickBot="1">
      <c r="A18" s="3"/>
      <c r="B18" s="51"/>
      <c r="C18" s="70" t="s">
        <v>58</v>
      </c>
      <c r="D18" s="71">
        <f>D17/G14</f>
        <v>1.1523694754447462</v>
      </c>
      <c r="E18" s="244"/>
      <c r="F18" s="236"/>
      <c r="G18" s="247"/>
      <c r="H18" s="51"/>
      <c r="I18" s="3"/>
    </row>
    <row r="19" spans="1:9" ht="17.25" thickBot="1" thickTop="1">
      <c r="A19" s="3"/>
      <c r="B19" s="51"/>
      <c r="C19" s="72" t="s">
        <v>104</v>
      </c>
      <c r="D19" s="73">
        <f>D18*100</f>
        <v>115.23694754447462</v>
      </c>
      <c r="E19" s="245"/>
      <c r="F19" s="236"/>
      <c r="G19" s="248"/>
      <c r="H19" s="51"/>
      <c r="I19" s="3"/>
    </row>
    <row r="20" spans="1:9" ht="13.5" thickTop="1">
      <c r="A20" s="3"/>
      <c r="B20" s="51"/>
      <c r="C20" s="250" t="str">
        <f>IF(D19&gt;10000,"ALERT!  The maximum value that can be set is Pn103=10,000.  Set Pn103=10,000.","Pn103 Is In Range")</f>
        <v>Pn103 Is In Range</v>
      </c>
      <c r="D20" s="250"/>
      <c r="E20" s="250"/>
      <c r="F20" s="250"/>
      <c r="G20" s="250"/>
      <c r="H20" s="127"/>
      <c r="I20" s="3"/>
    </row>
    <row r="21" spans="1:9" ht="13.5" customHeight="1">
      <c r="A21" s="3"/>
      <c r="B21" s="128"/>
      <c r="C21" s="249" t="str">
        <f>IF(D19&gt;10000,"Equations must  replace Pn100 with (   Pn100 /"," ")</f>
        <v> </v>
      </c>
      <c r="D21" s="249"/>
      <c r="E21" s="249"/>
      <c r="F21" s="129">
        <f>D19/10000</f>
        <v>0.011523694754447462</v>
      </c>
      <c r="G21" s="130" t="s">
        <v>59</v>
      </c>
      <c r="H21" s="127"/>
      <c r="I21" s="3"/>
    </row>
    <row r="22" spans="1:9" ht="12.75">
      <c r="A22" s="3"/>
      <c r="B22" s="3"/>
      <c r="C22" s="3"/>
      <c r="D22" s="3"/>
      <c r="E22" s="3"/>
      <c r="F22" s="3"/>
      <c r="G22" s="3"/>
      <c r="H22" s="3"/>
      <c r="I22" s="3"/>
    </row>
  </sheetData>
  <sheetProtection sheet="1" objects="1" scenarios="1"/>
  <mergeCells count="14">
    <mergeCell ref="E18:F18"/>
    <mergeCell ref="E19:F19"/>
    <mergeCell ref="G17:G19"/>
    <mergeCell ref="C21:E21"/>
    <mergeCell ref="C20:G20"/>
    <mergeCell ref="E17:F17"/>
    <mergeCell ref="A1:I1"/>
    <mergeCell ref="C4:E4"/>
    <mergeCell ref="C16:D16"/>
    <mergeCell ref="E16:F16"/>
    <mergeCell ref="B3:H3"/>
    <mergeCell ref="D11:E11"/>
    <mergeCell ref="D12:E12"/>
    <mergeCell ref="D13:E13"/>
  </mergeCells>
  <conditionalFormatting sqref="G11 G14 G6:G7">
    <cfRule type="expression" priority="1" dxfId="3" stopIfTrue="1">
      <formula>$D$17&lt;0</formula>
    </cfRule>
  </conditionalFormatting>
  <conditionalFormatting sqref="D17">
    <cfRule type="cellIs" priority="2" dxfId="4" operator="lessThan" stopIfTrue="1">
      <formula>0</formula>
    </cfRule>
  </conditionalFormatting>
  <conditionalFormatting sqref="E6:E7 D11:D12">
    <cfRule type="expression" priority="3" dxfId="3" stopIfTrue="1">
      <formula>$D$18&lt;0</formula>
    </cfRule>
  </conditionalFormatting>
  <conditionalFormatting sqref="D19">
    <cfRule type="expression" priority="4" dxfId="3" stopIfTrue="1">
      <formula>$D$18&lt;0</formula>
    </cfRule>
    <cfRule type="cellIs" priority="5" dxfId="0" operator="greaterThan" stopIfTrue="1">
      <formula>10000</formula>
    </cfRule>
  </conditionalFormatting>
  <conditionalFormatting sqref="F21:G21">
    <cfRule type="expression" priority="6" dxfId="5" stopIfTrue="1">
      <formula>$D$19&lt;10000</formula>
    </cfRule>
  </conditionalFormatting>
  <conditionalFormatting sqref="G8">
    <cfRule type="expression" priority="7" dxfId="6" stopIfTrue="1">
      <formula>$D$17&lt;0</formula>
    </cfRule>
  </conditionalFormatting>
  <printOptions/>
  <pageMargins left="0.75" right="0.75" top="1" bottom="1" header="0.5" footer="0.5"/>
  <pageSetup horizontalDpi="600" verticalDpi="600" orientation="landscape" scale="155" r:id="rId4"/>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A1"/>
  <sheetViews>
    <sheetView workbookViewId="0" topLeftCell="A1">
      <selection activeCell="I13" sqref="I13"/>
    </sheetView>
  </sheetViews>
  <sheetFormatPr defaultColWidth="9.140625" defaultRowHeight="12.75"/>
  <sheetData/>
  <sheetProtection sheet="1" objects="1" scenarios="1"/>
  <printOptions/>
  <pageMargins left="0.75" right="0.75" top="1" bottom="1" header="0.5" footer="0.5"/>
  <pageSetup horizontalDpi="600" verticalDpi="600" orientation="portrait" r:id="rId4"/>
  <drawing r:id="rId3"/>
  <legacyDrawing r:id="rId2"/>
  <oleObjects>
    <oleObject progId="Word.Document.8" shapeId="1641904" r:id="rId1"/>
  </oleObjects>
</worksheet>
</file>

<file path=xl/worksheets/sheet9.xml><?xml version="1.0" encoding="utf-8"?>
<worksheet xmlns="http://schemas.openxmlformats.org/spreadsheetml/2006/main" xmlns:r="http://schemas.openxmlformats.org/officeDocument/2006/relationships">
  <sheetPr codeName="Sheet10"/>
  <dimension ref="A1:J46"/>
  <sheetViews>
    <sheetView workbookViewId="0" topLeftCell="A1">
      <selection activeCell="A1" sqref="A1:J1"/>
    </sheetView>
  </sheetViews>
  <sheetFormatPr defaultColWidth="9.140625" defaultRowHeight="12.75"/>
  <sheetData>
    <row r="1" spans="1:10" ht="33" customHeight="1">
      <c r="A1" s="253" t="s">
        <v>61</v>
      </c>
      <c r="B1" s="253"/>
      <c r="C1" s="253"/>
      <c r="D1" s="253"/>
      <c r="E1" s="253"/>
      <c r="F1" s="253"/>
      <c r="G1" s="253"/>
      <c r="H1" s="253"/>
      <c r="I1" s="253"/>
      <c r="J1" s="253"/>
    </row>
    <row r="2" spans="1:10" ht="12.75">
      <c r="A2" s="4" t="s">
        <v>62</v>
      </c>
      <c r="B2" s="3"/>
      <c r="C2" s="3"/>
      <c r="D2" s="3"/>
      <c r="E2" s="3"/>
      <c r="F2" s="3"/>
      <c r="G2" s="3"/>
      <c r="H2" s="3"/>
      <c r="I2" s="3"/>
      <c r="J2" s="3"/>
    </row>
    <row r="3" spans="1:10" ht="12.75">
      <c r="A3" s="3" t="s">
        <v>63</v>
      </c>
      <c r="B3" s="3"/>
      <c r="C3" s="3"/>
      <c r="D3" s="3"/>
      <c r="E3" s="3"/>
      <c r="F3" s="3"/>
      <c r="G3" s="3"/>
      <c r="H3" s="3"/>
      <c r="I3" s="3"/>
      <c r="J3" s="3"/>
    </row>
    <row r="4" spans="1:10" ht="12.75">
      <c r="A4" s="3"/>
      <c r="B4" s="3" t="s">
        <v>64</v>
      </c>
      <c r="C4" s="3"/>
      <c r="D4" s="3"/>
      <c r="E4" s="3"/>
      <c r="F4" s="3"/>
      <c r="G4" s="3"/>
      <c r="H4" s="3"/>
      <c r="I4" s="3"/>
      <c r="J4" s="3"/>
    </row>
    <row r="5" spans="1:10" ht="12.75">
      <c r="A5" s="3"/>
      <c r="B5" s="3" t="s">
        <v>65</v>
      </c>
      <c r="C5" s="3"/>
      <c r="D5" s="3"/>
      <c r="E5" s="3"/>
      <c r="F5" s="3"/>
      <c r="G5" s="3"/>
      <c r="H5" s="3"/>
      <c r="I5" s="3"/>
      <c r="J5" s="3"/>
    </row>
    <row r="6" spans="1:10" ht="12.75">
      <c r="A6" s="3"/>
      <c r="B6" s="3" t="s">
        <v>66</v>
      </c>
      <c r="C6" s="3"/>
      <c r="D6" s="3"/>
      <c r="E6" s="3"/>
      <c r="F6" s="3"/>
      <c r="G6" s="3"/>
      <c r="H6" s="3"/>
      <c r="I6" s="3"/>
      <c r="J6" s="3"/>
    </row>
    <row r="7" spans="1:10" ht="12.75">
      <c r="A7" s="3"/>
      <c r="B7" s="79" t="s">
        <v>67</v>
      </c>
      <c r="C7" s="3"/>
      <c r="D7" s="3"/>
      <c r="E7" s="3"/>
      <c r="F7" s="3"/>
      <c r="G7" s="3"/>
      <c r="H7" s="3"/>
      <c r="I7" s="3"/>
      <c r="J7" s="3"/>
    </row>
    <row r="8" spans="1:10" ht="12.75">
      <c r="A8" s="3"/>
      <c r="B8" s="3"/>
      <c r="C8" s="3"/>
      <c r="D8" s="3"/>
      <c r="E8" s="3"/>
      <c r="F8" s="3"/>
      <c r="G8" s="3"/>
      <c r="H8" s="3"/>
      <c r="I8" s="3"/>
      <c r="J8" s="3"/>
    </row>
    <row r="9" spans="1:10" ht="12.75">
      <c r="A9" s="4" t="s">
        <v>68</v>
      </c>
      <c r="B9" s="3"/>
      <c r="C9" s="3"/>
      <c r="D9" s="3"/>
      <c r="E9" s="3"/>
      <c r="F9" s="3"/>
      <c r="G9" s="3"/>
      <c r="H9" s="3"/>
      <c r="I9" s="3"/>
      <c r="J9" s="3"/>
    </row>
    <row r="10" spans="1:10" ht="12.75">
      <c r="A10" s="3" t="s">
        <v>69</v>
      </c>
      <c r="B10" s="3"/>
      <c r="C10" s="3"/>
      <c r="D10" s="3"/>
      <c r="E10" s="3"/>
      <c r="F10" s="3"/>
      <c r="G10" s="3"/>
      <c r="H10" s="3"/>
      <c r="I10" s="3"/>
      <c r="J10" s="3"/>
    </row>
    <row r="11" spans="1:10" ht="12.75">
      <c r="A11" s="3" t="s">
        <v>70</v>
      </c>
      <c r="B11" s="3"/>
      <c r="C11" s="3"/>
      <c r="D11" s="3"/>
      <c r="E11" s="3"/>
      <c r="F11" s="3"/>
      <c r="G11" s="3"/>
      <c r="H11" s="3"/>
      <c r="I11" s="3"/>
      <c r="J11" s="3"/>
    </row>
    <row r="12" spans="2:10" ht="12.75">
      <c r="B12" s="80" t="s">
        <v>71</v>
      </c>
      <c r="C12" s="3" t="s">
        <v>72</v>
      </c>
      <c r="D12" s="3"/>
      <c r="E12" s="3"/>
      <c r="F12" s="3"/>
      <c r="G12" s="3"/>
      <c r="H12" s="3"/>
      <c r="I12" s="3"/>
      <c r="J12" s="3"/>
    </row>
    <row r="13" spans="1:10" ht="12.75">
      <c r="A13" s="3"/>
      <c r="C13" s="3" t="s">
        <v>73</v>
      </c>
      <c r="D13" s="3"/>
      <c r="E13" s="3"/>
      <c r="F13" s="3"/>
      <c r="G13" s="3"/>
      <c r="H13" s="3"/>
      <c r="I13" s="3"/>
      <c r="J13" s="3"/>
    </row>
    <row r="14" spans="1:10" ht="26.25" customHeight="1">
      <c r="A14" s="3"/>
      <c r="B14" s="81" t="s">
        <v>74</v>
      </c>
      <c r="C14" s="254" t="s">
        <v>75</v>
      </c>
      <c r="D14" s="254"/>
      <c r="E14" s="254"/>
      <c r="F14" s="254"/>
      <c r="G14" s="254"/>
      <c r="H14" s="254"/>
      <c r="I14" s="254"/>
      <c r="J14" s="254"/>
    </row>
    <row r="15" spans="1:10" ht="23.25" customHeight="1">
      <c r="A15" s="3"/>
      <c r="B15" s="3"/>
      <c r="C15" s="254" t="s">
        <v>76</v>
      </c>
      <c r="D15" s="254"/>
      <c r="E15" s="254"/>
      <c r="F15" s="254"/>
      <c r="G15" s="254"/>
      <c r="H15" s="254"/>
      <c r="I15" s="254"/>
      <c r="J15" s="254"/>
    </row>
    <row r="16" spans="1:10" ht="12.75">
      <c r="A16" s="3"/>
      <c r="B16" s="3"/>
      <c r="C16" s="254" t="s">
        <v>77</v>
      </c>
      <c r="D16" s="254"/>
      <c r="E16" s="254"/>
      <c r="F16" s="254"/>
      <c r="G16" s="254"/>
      <c r="H16" s="254"/>
      <c r="I16" s="254"/>
      <c r="J16" s="254"/>
    </row>
    <row r="17" spans="1:10" ht="12.75">
      <c r="A17" s="3"/>
      <c r="B17" s="79" t="s">
        <v>67</v>
      </c>
      <c r="C17" s="82"/>
      <c r="D17" s="82"/>
      <c r="E17" s="82"/>
      <c r="F17" s="82"/>
      <c r="G17" s="82"/>
      <c r="H17" s="82"/>
      <c r="I17" s="82"/>
      <c r="J17" s="82"/>
    </row>
    <row r="18" spans="1:10" ht="12.75">
      <c r="A18" s="3"/>
      <c r="B18" s="3"/>
      <c r="C18" s="3"/>
      <c r="D18" s="3"/>
      <c r="E18" s="3"/>
      <c r="F18" s="3"/>
      <c r="G18" s="3"/>
      <c r="H18" s="3"/>
      <c r="I18" s="3"/>
      <c r="J18" s="3"/>
    </row>
    <row r="19" spans="1:10" ht="12.75">
      <c r="A19" s="4" t="s">
        <v>78</v>
      </c>
      <c r="B19" s="3"/>
      <c r="C19" s="3"/>
      <c r="D19" s="3"/>
      <c r="E19" s="3"/>
      <c r="F19" s="3"/>
      <c r="G19" s="3"/>
      <c r="H19" s="3"/>
      <c r="I19" s="3"/>
      <c r="J19" s="3"/>
    </row>
    <row r="20" spans="1:10" ht="12.75">
      <c r="A20" s="3"/>
      <c r="B20" s="3" t="s">
        <v>79</v>
      </c>
      <c r="C20" s="3"/>
      <c r="D20" s="3"/>
      <c r="E20" s="3"/>
      <c r="F20" s="3"/>
      <c r="G20" s="3"/>
      <c r="H20" s="3"/>
      <c r="I20" s="3"/>
      <c r="J20" s="3"/>
    </row>
    <row r="21" spans="1:10" ht="12.75">
      <c r="A21" s="3"/>
      <c r="B21" s="3" t="s">
        <v>105</v>
      </c>
      <c r="C21" s="3"/>
      <c r="D21" s="3"/>
      <c r="E21" s="3"/>
      <c r="F21" s="3"/>
      <c r="G21" s="3"/>
      <c r="H21" s="3"/>
      <c r="I21" s="3"/>
      <c r="J21" s="3"/>
    </row>
    <row r="22" spans="1:10" ht="12.75">
      <c r="A22" s="3"/>
      <c r="B22" s="3" t="s">
        <v>80</v>
      </c>
      <c r="C22" s="3"/>
      <c r="D22" s="3"/>
      <c r="E22" s="3"/>
      <c r="F22" s="3"/>
      <c r="G22" s="3"/>
      <c r="H22" s="3"/>
      <c r="I22" s="3"/>
      <c r="J22" s="3"/>
    </row>
    <row r="23" spans="1:10" ht="12.75">
      <c r="A23" s="3"/>
      <c r="B23" s="3"/>
      <c r="C23" s="3"/>
      <c r="D23" s="3"/>
      <c r="E23" s="3"/>
      <c r="F23" s="3"/>
      <c r="G23" s="3"/>
      <c r="H23" s="3"/>
      <c r="I23" s="3"/>
      <c r="J23" s="3"/>
    </row>
    <row r="24" spans="1:10" ht="12.75">
      <c r="A24" s="3"/>
      <c r="B24" s="3"/>
      <c r="C24" s="3"/>
      <c r="D24" s="3"/>
      <c r="E24" s="3"/>
      <c r="F24" s="3"/>
      <c r="G24" s="3"/>
      <c r="H24" s="3"/>
      <c r="I24" s="3"/>
      <c r="J24" s="3"/>
    </row>
    <row r="25" spans="1:10" ht="12.75">
      <c r="A25" s="3"/>
      <c r="B25" s="3"/>
      <c r="C25" s="3"/>
      <c r="D25" s="3"/>
      <c r="E25" s="3"/>
      <c r="F25" s="3"/>
      <c r="G25" s="3"/>
      <c r="H25" s="3"/>
      <c r="I25" s="3"/>
      <c r="J25" s="3"/>
    </row>
    <row r="26" spans="1:10" ht="12.75">
      <c r="A26" s="3"/>
      <c r="B26" s="3"/>
      <c r="C26" s="3"/>
      <c r="D26" s="3"/>
      <c r="E26" s="3"/>
      <c r="F26" s="3"/>
      <c r="G26" s="3"/>
      <c r="H26" s="3"/>
      <c r="I26" s="3"/>
      <c r="J26" s="3"/>
    </row>
    <row r="27" spans="1:10" ht="12.75">
      <c r="A27" s="3"/>
      <c r="B27" s="3"/>
      <c r="C27" s="3"/>
      <c r="D27" s="3"/>
      <c r="E27" s="3"/>
      <c r="F27" s="3"/>
      <c r="G27" s="3"/>
      <c r="H27" s="3"/>
      <c r="I27" s="3"/>
      <c r="J27" s="3"/>
    </row>
    <row r="28" spans="1:10" ht="12.75">
      <c r="A28" s="3"/>
      <c r="B28" s="3"/>
      <c r="C28" s="3"/>
      <c r="D28" s="3"/>
      <c r="E28" s="3"/>
      <c r="F28" s="3"/>
      <c r="G28" s="3"/>
      <c r="H28" s="3"/>
      <c r="I28" s="3"/>
      <c r="J28" s="3"/>
    </row>
    <row r="29" spans="1:10" ht="12.75">
      <c r="A29" s="3"/>
      <c r="B29" s="3"/>
      <c r="C29" s="3"/>
      <c r="D29" s="3"/>
      <c r="E29" s="3"/>
      <c r="F29" s="3"/>
      <c r="G29" s="3"/>
      <c r="H29" s="3"/>
      <c r="I29" s="3"/>
      <c r="J29" s="3"/>
    </row>
    <row r="30" spans="1:10" ht="12.75">
      <c r="A30" s="3"/>
      <c r="B30" s="3"/>
      <c r="C30" s="3"/>
      <c r="D30" s="3"/>
      <c r="E30" s="3"/>
      <c r="F30" s="3"/>
      <c r="G30" s="3"/>
      <c r="H30" s="3"/>
      <c r="I30" s="3"/>
      <c r="J30" s="3"/>
    </row>
    <row r="31" spans="1:10" ht="12.75">
      <c r="A31" s="3"/>
      <c r="B31" s="3"/>
      <c r="C31" s="3"/>
      <c r="D31" s="3"/>
      <c r="E31" s="3"/>
      <c r="F31" s="3"/>
      <c r="G31" s="3"/>
      <c r="H31" s="3"/>
      <c r="I31" s="3"/>
      <c r="J31" s="3"/>
    </row>
    <row r="32" spans="1:10" ht="12.75">
      <c r="A32" s="3"/>
      <c r="B32" s="3"/>
      <c r="C32" s="3"/>
      <c r="D32" s="3"/>
      <c r="E32" s="3"/>
      <c r="F32" s="3"/>
      <c r="G32" s="3"/>
      <c r="H32" s="3"/>
      <c r="I32" s="3"/>
      <c r="J32" s="3"/>
    </row>
    <row r="33" spans="1:10" ht="12.75">
      <c r="A33" s="3"/>
      <c r="B33" s="3"/>
      <c r="C33" s="3"/>
      <c r="D33" s="3"/>
      <c r="E33" s="3"/>
      <c r="F33" s="3"/>
      <c r="G33" s="3"/>
      <c r="H33" s="3"/>
      <c r="I33" s="3"/>
      <c r="J33" s="3"/>
    </row>
    <row r="34" spans="1:10" ht="12.75">
      <c r="A34" s="3"/>
      <c r="B34" s="3"/>
      <c r="C34" s="3"/>
      <c r="D34" s="3"/>
      <c r="E34" s="3"/>
      <c r="F34" s="3"/>
      <c r="G34" s="3"/>
      <c r="H34" s="3"/>
      <c r="I34" s="3"/>
      <c r="J34" s="3"/>
    </row>
    <row r="35" spans="1:10" ht="12.75">
      <c r="A35" s="3"/>
      <c r="B35" s="3"/>
      <c r="C35" s="3"/>
      <c r="D35" s="3"/>
      <c r="E35" s="3"/>
      <c r="F35" s="3"/>
      <c r="G35" s="3"/>
      <c r="H35" s="3"/>
      <c r="I35" s="3"/>
      <c r="J35" s="3"/>
    </row>
    <row r="36" spans="1:10" ht="12.75">
      <c r="A36" s="3"/>
      <c r="B36" s="3"/>
      <c r="C36" s="3"/>
      <c r="D36" s="3"/>
      <c r="E36" s="3"/>
      <c r="F36" s="3"/>
      <c r="G36" s="3"/>
      <c r="H36" s="3"/>
      <c r="I36" s="3"/>
      <c r="J36" s="3"/>
    </row>
    <row r="37" spans="1:10" ht="12.75">
      <c r="A37" s="3"/>
      <c r="B37" s="3"/>
      <c r="C37" s="3"/>
      <c r="D37" s="3"/>
      <c r="E37" s="3"/>
      <c r="F37" s="3"/>
      <c r="G37" s="3"/>
      <c r="H37" s="3"/>
      <c r="I37" s="3"/>
      <c r="J37" s="3"/>
    </row>
    <row r="38" spans="1:10" ht="12.75">
      <c r="A38" s="3"/>
      <c r="B38" s="3"/>
      <c r="C38" s="3"/>
      <c r="D38" s="3"/>
      <c r="E38" s="3"/>
      <c r="F38" s="3"/>
      <c r="G38" s="3"/>
      <c r="H38" s="3"/>
      <c r="I38" s="3"/>
      <c r="J38" s="3"/>
    </row>
    <row r="39" spans="1:10" ht="12.75">
      <c r="A39" s="3"/>
      <c r="B39" s="3"/>
      <c r="C39" s="3"/>
      <c r="D39" s="3"/>
      <c r="E39" s="3"/>
      <c r="F39" s="3"/>
      <c r="G39" s="3"/>
      <c r="H39" s="3"/>
      <c r="I39" s="3"/>
      <c r="J39" s="3"/>
    </row>
    <row r="40" spans="1:10" ht="12.75">
      <c r="A40" s="3"/>
      <c r="B40" s="3"/>
      <c r="C40" s="3"/>
      <c r="D40" s="3"/>
      <c r="E40" s="3"/>
      <c r="F40" s="3"/>
      <c r="G40" s="3"/>
      <c r="H40" s="3"/>
      <c r="I40" s="3"/>
      <c r="J40" s="3"/>
    </row>
    <row r="41" spans="1:10" ht="12.75">
      <c r="A41" s="3"/>
      <c r="B41" s="3"/>
      <c r="C41" s="3"/>
      <c r="D41" s="3"/>
      <c r="E41" s="3"/>
      <c r="F41" s="3"/>
      <c r="G41" s="3"/>
      <c r="H41" s="3"/>
      <c r="I41" s="3"/>
      <c r="J41" s="3"/>
    </row>
    <row r="42" spans="1:10" ht="12.75">
      <c r="A42" s="3"/>
      <c r="B42" s="3"/>
      <c r="C42" s="3"/>
      <c r="D42" s="3"/>
      <c r="E42" s="3"/>
      <c r="F42" s="3"/>
      <c r="G42" s="3"/>
      <c r="H42" s="3"/>
      <c r="I42" s="3"/>
      <c r="J42" s="3"/>
    </row>
    <row r="43" spans="1:10" ht="12.75">
      <c r="A43" s="3"/>
      <c r="B43" s="3"/>
      <c r="C43" s="3"/>
      <c r="D43" s="3"/>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spans="1:10" ht="12.75">
      <c r="A46" s="3"/>
      <c r="B46" s="3"/>
      <c r="C46" s="3"/>
      <c r="D46" s="3"/>
      <c r="E46" s="3"/>
      <c r="F46" s="3"/>
      <c r="G46" s="3"/>
      <c r="H46" s="3"/>
      <c r="I46" s="3"/>
      <c r="J46" s="3"/>
    </row>
  </sheetData>
  <sheetProtection sheet="1" objects="1" scenarios="1"/>
  <mergeCells count="4">
    <mergeCell ref="A1:J1"/>
    <mergeCell ref="C14:J14"/>
    <mergeCell ref="C15:J15"/>
    <mergeCell ref="C16:J16"/>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John Autero</Manager>
  <Company>Yaskawa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Sigma II Parameter Calculator</dc:title>
  <dc:subject>SigmaII</dc:subject>
  <dc:creator>Matt Pelletier</dc:creator>
  <cp:keywords/>
  <dc:description/>
  <cp:lastModifiedBy>Matt </cp:lastModifiedBy>
  <cp:lastPrinted>2006-03-16T20:46:34Z</cp:lastPrinted>
  <dcterms:created xsi:type="dcterms:W3CDTF">2003-03-24T14:34:23Z</dcterms:created>
  <dcterms:modified xsi:type="dcterms:W3CDTF">2006-03-16T21:31:37Z</dcterms:modified>
  <cp:category/>
  <cp:version/>
  <cp:contentType/>
  <cp:contentStatus/>
</cp:coreProperties>
</file>